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ocumenttasks/documenttask1.xml" ContentType="application/vnd.ms-excel.documenttask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AM\Downloads\"/>
    </mc:Choice>
  </mc:AlternateContent>
  <xr:revisionPtr revIDLastSave="0" documentId="13_ncr:1_{E85A22A3-ADFF-481F-99D9-B94B427FB332}" xr6:coauthVersionLast="47" xr6:coauthVersionMax="47" xr10:uidLastSave="{00000000-0000-0000-0000-000000000000}"/>
  <bookViews>
    <workbookView xWindow="-120" yWindow="-120" windowWidth="29040" windowHeight="17640" tabRatio="895" firstSheet="2" activeTab="5" xr2:uid="{00000000-000D-0000-FFFF-FFFF00000000}"/>
  </bookViews>
  <sheets>
    <sheet name="1-Registro_Principal" sheetId="2" r:id="rId1"/>
    <sheet name="2-PVT_FC_S320" sheetId="3" state="hidden" r:id="rId2"/>
    <sheet name="2-Composition_Table_PVT" sheetId="62" r:id="rId3"/>
    <sheet name="2-Valores Calculados" sheetId="52" r:id="rId4"/>
    <sheet name="2-Resultados da Simulação" sheetId="53" r:id="rId5"/>
    <sheet name="3-Dados_Totalizados_27&amp;28_03" sheetId="40" r:id="rId6"/>
    <sheet name="SEP_27&amp;28_03_OLEO" sheetId="45" r:id="rId7"/>
    <sheet name="SEP_27&amp;28_03_GAS" sheetId="46" r:id="rId8"/>
    <sheet name="SEP_27&amp;28_03_AGUA" sheetId="47" r:id="rId9"/>
    <sheet name="4-Fator_ReconciliaçãoK" sheetId="5" r:id="rId10"/>
    <sheet name="5-Pos_Monitoramento" sheetId="7" r:id="rId11"/>
    <sheet name="5.1 TotalHorario_Acomp18&amp;19_04" sheetId="78" r:id="rId12"/>
    <sheet name="SEP_18&amp;19_04_OLEO" sheetId="83" r:id="rId13"/>
    <sheet name="SEP_18&amp;19_04_GAS" sheetId="80" r:id="rId14"/>
    <sheet name="SEP_18&amp;19_04_AGUA" sheetId="81" r:id="rId15"/>
    <sheet name="MPFM_Horario_18&amp;19_04" sheetId="82" r:id="rId16"/>
    <sheet name="SEP_29_03_OLEO" sheetId="73" state="hidden" r:id="rId17"/>
    <sheet name="5.1 TotalHorario_Acomp28&amp;29_03" sheetId="55" state="hidden" r:id="rId18"/>
    <sheet name="SEP_29_03_GAS" sheetId="74" state="hidden" r:id="rId19"/>
    <sheet name="SEP_29_03_AGUA" sheetId="75" state="hidden" r:id="rId20"/>
    <sheet name="MPFM_Horario_29&amp;30_03" sheetId="72" state="hidden" r:id="rId21"/>
    <sheet name="MPFM_Horario_27&amp;28_03" sheetId="48" state="hidden" r:id="rId22"/>
  </sheets>
  <definedNames>
    <definedName name="_xleta.AVERAGE" hidden="1" xlm="1">#NAME?</definedName>
    <definedName name="_xleta.DATE" hidden="1" xlm="1">#NAME?</definedName>
    <definedName name="_xleta.DAY" hidden="1" xlm="1">#NAME?</definedName>
    <definedName name="_xleta.DAYS" hidden="1" xlm="1">#NAME?</definedName>
    <definedName name="_xleta.EXACT" hidden="1" xlm="1">#NAME?</definedName>
    <definedName name="_xleta.HOUR" hidden="1" xlm="1">#NAME?</definedName>
    <definedName name="_xleta.SUM" hidden="1" xlm="1">#NAME?</definedName>
    <definedName name="_xleta.T" hidden="1" xlm="1">#NAME?</definedName>
    <definedName name="_xleta.TIME" hidden="1" xlm="1">#NAME?</definedName>
    <definedName name="argonio">#REF!</definedName>
    <definedName name="co">#REF!</definedName>
    <definedName name="co_2">#REF!</definedName>
    <definedName name="etano">#REF!</definedName>
    <definedName name="h_2">#REF!</definedName>
    <definedName name="h2o">#REF!</definedName>
    <definedName name="h2s">#REF!</definedName>
    <definedName name="helio">#REF!</definedName>
    <definedName name="ibutano">#REF!</definedName>
    <definedName name="ipentano">#REF!</definedName>
    <definedName name="Maior10">#REF!</definedName>
    <definedName name="mespecb">#REF!</definedName>
    <definedName name="mespecf">#REF!</definedName>
    <definedName name="metano">#REF!</definedName>
    <definedName name="nbutano">#REF!</definedName>
    <definedName name="ndecano">#REF!</definedName>
    <definedName name="nheptano">#REF!</definedName>
    <definedName name="nhexano">#REF!</definedName>
    <definedName name="nitrogenio">#REF!</definedName>
    <definedName name="nnonano">#REF!</definedName>
    <definedName name="noctano">#REF!</definedName>
    <definedName name="npentano">#REF!</definedName>
    <definedName name="oxigenio">#REF!</definedName>
    <definedName name="p_b">#REF!</definedName>
    <definedName name="p_op">#REF!</definedName>
    <definedName name="p_ref">#REF!</definedName>
    <definedName name="pressao">#REF!</definedName>
    <definedName name="_xlnm.Print_Area" localSheetId="4">'2-Resultados da Simulação'!$A$1:$AA$120</definedName>
    <definedName name="_xlnm.Print_Area" localSheetId="3">'2-Valores Calculados'!$A$2:$D$51</definedName>
    <definedName name="_xlnm.Print_Area" localSheetId="5">'3-Dados_Totalizados_27&amp;28_03'!$A$1:$CF$79</definedName>
    <definedName name="_xlnm.Print_Area" localSheetId="11">'5.1 TotalHorario_Acomp18&amp;19_04'!$A$3:$CE$50</definedName>
    <definedName name="_xlnm.Print_Area" localSheetId="17">'5.1 TotalHorario_Acomp28&amp;29_03'!$A$3:$CE$50</definedName>
    <definedName name="_xlnm.Print_Area" localSheetId="10">'5-Pos_Monitoramento'!$A$1:$AS$10</definedName>
    <definedName name="propano">#REF!</definedName>
    <definedName name="t_b">#REF!</definedName>
    <definedName name="t_op">#REF!</definedName>
    <definedName name="t_ref">#REF!</definedName>
    <definedName name="temperatura">#REF!</definedName>
    <definedName name="teste">#REF!</definedName>
    <definedName name="total">#REF!</definedName>
    <definedName name="vol_op">#REF!</definedName>
    <definedName name="zb">#REF!</definedName>
    <definedName name="zf">#REF!</definedName>
  </definedNames>
  <calcPr calcId="191028" iterateCount="12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" i="7" l="1"/>
  <c r="AN11" i="7"/>
  <c r="AQ11" i="7" s="1"/>
  <c r="AP11" i="7"/>
  <c r="AR11" i="7"/>
  <c r="AO11" i="7"/>
  <c r="AM11" i="7"/>
  <c r="AI11" i="7"/>
  <c r="AH11" i="7"/>
  <c r="AG11" i="7"/>
  <c r="AF11" i="7"/>
  <c r="AC11" i="7"/>
  <c r="AB11" i="7"/>
  <c r="U11" i="7"/>
  <c r="T11" i="7"/>
  <c r="I11" i="7"/>
  <c r="H11" i="7"/>
  <c r="AP10" i="7"/>
  <c r="AQ10" i="7"/>
  <c r="AR10" i="7"/>
  <c r="AO10" i="7"/>
  <c r="AN10" i="7"/>
  <c r="BB10" i="78"/>
  <c r="BA10" i="78"/>
  <c r="AM10" i="7"/>
  <c r="AI10" i="7"/>
  <c r="AH10" i="7"/>
  <c r="AF10" i="7"/>
  <c r="AG10" i="7"/>
  <c r="AC10" i="7"/>
  <c r="AB10" i="7"/>
  <c r="AG6" i="7"/>
  <c r="U6" i="7"/>
  <c r="Q6" i="7"/>
  <c r="T10" i="7"/>
  <c r="R10" i="7"/>
  <c r="Q10" i="7"/>
  <c r="I10" i="7"/>
  <c r="AT34" i="78"/>
  <c r="AU34" i="78"/>
  <c r="AU11" i="78"/>
  <c r="AU12" i="78"/>
  <c r="AU13" i="78"/>
  <c r="AU14" i="78"/>
  <c r="AU15" i="78"/>
  <c r="AU16" i="78"/>
  <c r="AU17" i="78"/>
  <c r="AU18" i="78"/>
  <c r="AU19" i="78"/>
  <c r="AU20" i="78"/>
  <c r="AU21" i="78"/>
  <c r="AU22" i="78"/>
  <c r="AU23" i="78"/>
  <c r="AU24" i="78"/>
  <c r="AU25" i="78"/>
  <c r="AU26" i="78"/>
  <c r="AU27" i="78"/>
  <c r="AU28" i="78"/>
  <c r="AU29" i="78"/>
  <c r="AU30" i="78"/>
  <c r="AU31" i="78"/>
  <c r="AU32" i="78"/>
  <c r="AU33" i="78"/>
  <c r="AU10" i="78"/>
  <c r="AT11" i="78"/>
  <c r="AT12" i="78"/>
  <c r="AT13" i="78"/>
  <c r="AT14" i="78"/>
  <c r="AT15" i="78"/>
  <c r="AT16" i="78"/>
  <c r="AT17" i="78"/>
  <c r="AT18" i="78"/>
  <c r="AT19" i="78"/>
  <c r="AT20" i="78"/>
  <c r="AT21" i="78"/>
  <c r="AT22" i="78"/>
  <c r="AT23" i="78"/>
  <c r="AT24" i="78"/>
  <c r="AT25" i="78"/>
  <c r="AT26" i="78"/>
  <c r="AT27" i="78"/>
  <c r="AT28" i="78"/>
  <c r="AT29" i="78"/>
  <c r="AT30" i="78"/>
  <c r="AT31" i="78"/>
  <c r="AT32" i="78"/>
  <c r="AT33" i="78"/>
  <c r="AT10" i="78"/>
  <c r="BY13" i="78"/>
  <c r="BX65" i="78"/>
  <c r="BY64" i="78"/>
  <c r="CD41" i="78"/>
  <c r="BX60" i="78"/>
  <c r="BX61" i="78"/>
  <c r="BX62" i="78"/>
  <c r="BX63" i="78"/>
  <c r="BX64" i="78"/>
  <c r="BX59" i="78"/>
  <c r="BX58" i="78"/>
  <c r="BX42" i="78"/>
  <c r="BX43" i="78"/>
  <c r="BX44" i="78"/>
  <c r="BX45" i="78"/>
  <c r="CD45" i="78" s="1"/>
  <c r="BX46" i="78"/>
  <c r="BX47" i="78"/>
  <c r="BX48" i="78"/>
  <c r="BX49" i="78"/>
  <c r="BX50" i="78"/>
  <c r="BX51" i="78"/>
  <c r="BX52" i="78"/>
  <c r="BX53" i="78"/>
  <c r="CD53" i="78" s="1"/>
  <c r="BX54" i="78"/>
  <c r="CD54" i="78" s="1"/>
  <c r="BX55" i="78"/>
  <c r="BX56" i="78"/>
  <c r="BX57" i="78"/>
  <c r="CD58" i="78"/>
  <c r="BX41" i="78"/>
  <c r="BY42" i="78"/>
  <c r="BY43" i="78"/>
  <c r="BY44" i="78"/>
  <c r="BY45" i="78"/>
  <c r="BY46" i="78"/>
  <c r="BY47" i="78"/>
  <c r="BY48" i="78"/>
  <c r="BY49" i="78"/>
  <c r="BY50" i="78"/>
  <c r="BY51" i="78"/>
  <c r="BY52" i="78"/>
  <c r="BY53" i="78"/>
  <c r="BY54" i="78"/>
  <c r="BY55" i="78"/>
  <c r="BY56" i="78"/>
  <c r="BY57" i="78"/>
  <c r="BY58" i="78"/>
  <c r="BY59" i="78"/>
  <c r="BY60" i="78"/>
  <c r="BY61" i="78"/>
  <c r="BY62" i="78"/>
  <c r="BY63" i="78"/>
  <c r="BY41" i="78"/>
  <c r="BW64" i="78"/>
  <c r="CD50" i="78"/>
  <c r="CD64" i="78"/>
  <c r="BV41" i="78"/>
  <c r="BU42" i="78"/>
  <c r="BU43" i="78"/>
  <c r="BU44" i="78"/>
  <c r="BU45" i="78"/>
  <c r="BU46" i="78"/>
  <c r="BU47" i="78"/>
  <c r="BU48" i="78"/>
  <c r="BU49" i="78"/>
  <c r="BU50" i="78"/>
  <c r="BU51" i="78"/>
  <c r="BU52" i="78"/>
  <c r="BU53" i="78"/>
  <c r="BU54" i="78"/>
  <c r="BU55" i="78"/>
  <c r="BU56" i="78"/>
  <c r="BU57" i="78"/>
  <c r="BU58" i="78"/>
  <c r="BU59" i="78"/>
  <c r="BU60" i="78"/>
  <c r="BU61" i="78"/>
  <c r="BU62" i="78"/>
  <c r="BU63" i="78"/>
  <c r="BU64" i="78"/>
  <c r="BU41" i="78"/>
  <c r="BT42" i="78"/>
  <c r="BT43" i="78"/>
  <c r="BT44" i="78"/>
  <c r="BT45" i="78"/>
  <c r="BZ45" i="78" s="1"/>
  <c r="BT46" i="78"/>
  <c r="BT47" i="78"/>
  <c r="BT48" i="78"/>
  <c r="BT49" i="78"/>
  <c r="BT50" i="78"/>
  <c r="BT51" i="78"/>
  <c r="BT52" i="78"/>
  <c r="BT53" i="78"/>
  <c r="BZ53" i="78" s="1"/>
  <c r="BT54" i="78"/>
  <c r="BZ54" i="78" s="1"/>
  <c r="BT55" i="78"/>
  <c r="BZ55" i="78" s="1"/>
  <c r="BT56" i="78"/>
  <c r="BT57" i="78"/>
  <c r="BT58" i="78"/>
  <c r="BZ58" i="78" s="1"/>
  <c r="BT59" i="78"/>
  <c r="BZ59" i="78" s="1"/>
  <c r="BT60" i="78"/>
  <c r="BT61" i="78"/>
  <c r="BT62" i="78"/>
  <c r="BT63" i="78"/>
  <c r="BT64" i="78"/>
  <c r="BT41" i="78"/>
  <c r="BV42" i="78"/>
  <c r="BV43" i="78"/>
  <c r="CB43" i="78" s="1"/>
  <c r="BV44" i="78"/>
  <c r="BV45" i="78"/>
  <c r="BV46" i="78"/>
  <c r="BV47" i="78"/>
  <c r="CB47" i="78" s="1"/>
  <c r="BV48" i="78"/>
  <c r="CB48" i="78" s="1"/>
  <c r="BV49" i="78"/>
  <c r="BV50" i="78"/>
  <c r="BV51" i="78"/>
  <c r="CB51" i="78" s="1"/>
  <c r="BV52" i="78"/>
  <c r="CB52" i="78" s="1"/>
  <c r="BV53" i="78"/>
  <c r="CB53" i="78" s="1"/>
  <c r="BV54" i="78"/>
  <c r="CB54" i="78" s="1"/>
  <c r="BV55" i="78"/>
  <c r="BV56" i="78"/>
  <c r="BV57" i="78"/>
  <c r="BV58" i="78"/>
  <c r="CB58" i="78" s="1"/>
  <c r="BV59" i="78"/>
  <c r="BV60" i="78"/>
  <c r="BV61" i="78"/>
  <c r="CB61" i="78" s="1"/>
  <c r="BV62" i="78"/>
  <c r="BV63" i="78"/>
  <c r="BV64" i="78"/>
  <c r="BZ41" i="78"/>
  <c r="CB11" i="78"/>
  <c r="CB12" i="78"/>
  <c r="CB13" i="78"/>
  <c r="CB14" i="78"/>
  <c r="CB15" i="78"/>
  <c r="CB16" i="78"/>
  <c r="CB17" i="78"/>
  <c r="CB18" i="78"/>
  <c r="CB19" i="78"/>
  <c r="CB20" i="78"/>
  <c r="CB21" i="78"/>
  <c r="CB22" i="78"/>
  <c r="CB23" i="78"/>
  <c r="CB24" i="78"/>
  <c r="CB25" i="78"/>
  <c r="CB26" i="78"/>
  <c r="CB27" i="78"/>
  <c r="CB28" i="78"/>
  <c r="CB29" i="78"/>
  <c r="CB30" i="78"/>
  <c r="CB31" i="78"/>
  <c r="CB32" i="78"/>
  <c r="CB33" i="78"/>
  <c r="CB10" i="78"/>
  <c r="BZ11" i="78"/>
  <c r="BZ12" i="78"/>
  <c r="BZ13" i="78"/>
  <c r="BZ14" i="78"/>
  <c r="BZ15" i="78"/>
  <c r="BZ16" i="78"/>
  <c r="BZ17" i="78"/>
  <c r="BZ18" i="78"/>
  <c r="BZ19" i="78"/>
  <c r="BZ20" i="78"/>
  <c r="BZ21" i="78"/>
  <c r="BZ22" i="78"/>
  <c r="BZ23" i="78"/>
  <c r="BZ24" i="78"/>
  <c r="BZ25" i="78"/>
  <c r="BZ26" i="78"/>
  <c r="BZ27" i="78"/>
  <c r="BZ28" i="78"/>
  <c r="BZ29" i="78"/>
  <c r="BZ30" i="78"/>
  <c r="BZ31" i="78"/>
  <c r="BZ32" i="78"/>
  <c r="BZ33" i="78"/>
  <c r="BZ10" i="78"/>
  <c r="CA10" i="78"/>
  <c r="CA11" i="78"/>
  <c r="CA12" i="78"/>
  <c r="CA13" i="78"/>
  <c r="BX11" i="78"/>
  <c r="BX12" i="78"/>
  <c r="BX13" i="78"/>
  <c r="BX14" i="78"/>
  <c r="BX15" i="78"/>
  <c r="BX16" i="78"/>
  <c r="BX17" i="78"/>
  <c r="BX18" i="78"/>
  <c r="BX19" i="78"/>
  <c r="BX20" i="78"/>
  <c r="BX21" i="78"/>
  <c r="BX22" i="78"/>
  <c r="BX23" i="78"/>
  <c r="BX24" i="78"/>
  <c r="BX25" i="78"/>
  <c r="BX26" i="78"/>
  <c r="BX27" i="78"/>
  <c r="BX28" i="78"/>
  <c r="BX29" i="78"/>
  <c r="BX30" i="78"/>
  <c r="BX31" i="78"/>
  <c r="BX32" i="78"/>
  <c r="BX33" i="78"/>
  <c r="BX10" i="78"/>
  <c r="AP11" i="78"/>
  <c r="BW11" i="78" s="1"/>
  <c r="BW12" i="78"/>
  <c r="BW13" i="78"/>
  <c r="BW14" i="78"/>
  <c r="BW15" i="78"/>
  <c r="BW16" i="78"/>
  <c r="BW17" i="78"/>
  <c r="BW18" i="78"/>
  <c r="BW19" i="78"/>
  <c r="BW20" i="78"/>
  <c r="BW21" i="78"/>
  <c r="BW22" i="78"/>
  <c r="BW23" i="78"/>
  <c r="BW24" i="78"/>
  <c r="BW25" i="78"/>
  <c r="BW26" i="78"/>
  <c r="BW27" i="78"/>
  <c r="BW28" i="78"/>
  <c r="BW29" i="78"/>
  <c r="BW30" i="78"/>
  <c r="BW31" i="78"/>
  <c r="BW32" i="78"/>
  <c r="BW33" i="78"/>
  <c r="BW10" i="78"/>
  <c r="BV11" i="78"/>
  <c r="BV12" i="78"/>
  <c r="BV13" i="78"/>
  <c r="BV14" i="78"/>
  <c r="BV15" i="78"/>
  <c r="BV16" i="78"/>
  <c r="BV17" i="78"/>
  <c r="BV18" i="78"/>
  <c r="BV19" i="78"/>
  <c r="BV20" i="78"/>
  <c r="BV21" i="78"/>
  <c r="BV22" i="78"/>
  <c r="BV23" i="78"/>
  <c r="BV24" i="78"/>
  <c r="BV25" i="78"/>
  <c r="BV26" i="78"/>
  <c r="BV27" i="78"/>
  <c r="BV28" i="78"/>
  <c r="BV29" i="78"/>
  <c r="BV30" i="78"/>
  <c r="BV31" i="78"/>
  <c r="BV32" i="78"/>
  <c r="BV33" i="78"/>
  <c r="BV10" i="78"/>
  <c r="BT13" i="78"/>
  <c r="BU13" i="78"/>
  <c r="BU11" i="78"/>
  <c r="BU12" i="78"/>
  <c r="BU14" i="78"/>
  <c r="BU15" i="78"/>
  <c r="BU16" i="78"/>
  <c r="BU17" i="78"/>
  <c r="BU18" i="78"/>
  <c r="BU19" i="78"/>
  <c r="BU20" i="78"/>
  <c r="BU21" i="78"/>
  <c r="BU22" i="78"/>
  <c r="BU23" i="78"/>
  <c r="BU24" i="78"/>
  <c r="BU25" i="78"/>
  <c r="BU26" i="78"/>
  <c r="BU27" i="78"/>
  <c r="BU28" i="78"/>
  <c r="BU29" i="78"/>
  <c r="BU30" i="78"/>
  <c r="BU31" i="78"/>
  <c r="BU32" i="78"/>
  <c r="BU33" i="78"/>
  <c r="BU10" i="78"/>
  <c r="BT11" i="78"/>
  <c r="BT12" i="78"/>
  <c r="BT14" i="78"/>
  <c r="BT15" i="78"/>
  <c r="BT16" i="78"/>
  <c r="BT17" i="78"/>
  <c r="BT18" i="78"/>
  <c r="BT19" i="78"/>
  <c r="BT20" i="78"/>
  <c r="BT21" i="78"/>
  <c r="BT22" i="78"/>
  <c r="BT23" i="78"/>
  <c r="BT24" i="78"/>
  <c r="BT25" i="78"/>
  <c r="BT26" i="78"/>
  <c r="BT27" i="78"/>
  <c r="BT28" i="78"/>
  <c r="BT29" i="78"/>
  <c r="BT30" i="78"/>
  <c r="BT31" i="78"/>
  <c r="BT32" i="78"/>
  <c r="BT33" i="78"/>
  <c r="BT10" i="78"/>
  <c r="F46" i="5"/>
  <c r="F36" i="5"/>
  <c r="BA34" i="78"/>
  <c r="AN33" i="55"/>
  <c r="E65" i="40"/>
  <c r="AM9" i="7"/>
  <c r="AO6" i="7"/>
  <c r="AO9" i="7"/>
  <c r="AO8" i="7"/>
  <c r="AN9" i="7"/>
  <c r="AN8" i="7"/>
  <c r="AM8" i="7"/>
  <c r="AL9" i="7"/>
  <c r="AL8" i="7"/>
  <c r="AL7" i="7"/>
  <c r="AL6" i="7"/>
  <c r="AE9" i="7"/>
  <c r="AB9" i="7"/>
  <c r="AC9" i="7" s="1"/>
  <c r="AA9" i="7"/>
  <c r="Z9" i="7"/>
  <c r="Y9" i="7"/>
  <c r="Y8" i="7"/>
  <c r="J2" i="83"/>
  <c r="AM34" i="40"/>
  <c r="I3" i="45"/>
  <c r="J3" i="80"/>
  <c r="I3" i="80"/>
  <c r="AB8" i="7"/>
  <c r="AH36" i="78"/>
  <c r="AH34" i="78"/>
  <c r="AH35" i="78"/>
  <c r="C64" i="78" s="1"/>
  <c r="C63" i="78"/>
  <c r="B12" i="5"/>
  <c r="Q79" i="40"/>
  <c r="F64" i="78"/>
  <c r="F61" i="78"/>
  <c r="F60" i="78"/>
  <c r="F59" i="78"/>
  <c r="C61" i="78"/>
  <c r="C60" i="78"/>
  <c r="C59" i="78"/>
  <c r="C56" i="78"/>
  <c r="E67" i="78"/>
  <c r="D67" i="78"/>
  <c r="C67" i="78"/>
  <c r="Y6" i="7"/>
  <c r="H9" i="7"/>
  <c r="T9" i="7" s="1"/>
  <c r="E9" i="7"/>
  <c r="Q9" i="7" s="1"/>
  <c r="C67" i="40"/>
  <c r="E67" i="40"/>
  <c r="D67" i="40"/>
  <c r="AY11" i="40"/>
  <c r="AY12" i="40"/>
  <c r="AY13" i="40"/>
  <c r="AY14" i="40"/>
  <c r="AY15" i="40"/>
  <c r="AY16" i="40"/>
  <c r="AY17" i="40"/>
  <c r="AY18" i="40"/>
  <c r="AY19" i="40"/>
  <c r="AY20" i="40"/>
  <c r="AY21" i="40"/>
  <c r="AY22" i="40"/>
  <c r="AY23" i="40"/>
  <c r="AY24" i="40"/>
  <c r="AY34" i="40" s="1"/>
  <c r="AY25" i="40"/>
  <c r="AY26" i="40"/>
  <c r="AY27" i="40"/>
  <c r="AY28" i="40"/>
  <c r="AY29" i="40"/>
  <c r="AY30" i="40"/>
  <c r="AY31" i="40"/>
  <c r="AY32" i="40"/>
  <c r="BG32" i="40" s="1"/>
  <c r="AY33" i="40"/>
  <c r="AY10" i="40"/>
  <c r="A8" i="7"/>
  <c r="E38" i="52"/>
  <c r="BF10" i="78"/>
  <c r="BG10" i="40"/>
  <c r="J10" i="78"/>
  <c r="S18" i="78"/>
  <c r="BV41" i="40"/>
  <c r="BU41" i="40"/>
  <c r="CC10" i="40"/>
  <c r="CA10" i="40"/>
  <c r="BX10" i="40"/>
  <c r="BW10" i="40"/>
  <c r="BU10" i="40"/>
  <c r="BU11" i="40"/>
  <c r="BU12" i="40"/>
  <c r="BU13" i="40"/>
  <c r="BU14" i="40"/>
  <c r="BU15" i="40"/>
  <c r="BU16" i="40"/>
  <c r="BU17" i="40"/>
  <c r="BU18" i="40"/>
  <c r="BU19" i="40"/>
  <c r="BU20" i="40"/>
  <c r="BU21" i="40"/>
  <c r="BU22" i="40"/>
  <c r="BU23" i="40"/>
  <c r="BU24" i="40"/>
  <c r="BU25" i="40"/>
  <c r="BU26" i="40"/>
  <c r="BU27" i="40"/>
  <c r="BU28" i="40"/>
  <c r="BU29" i="40"/>
  <c r="BU30" i="40"/>
  <c r="BU31" i="40"/>
  <c r="BU32" i="40"/>
  <c r="BU33" i="40"/>
  <c r="CB41" i="78"/>
  <c r="BW41" i="78"/>
  <c r="CC64" i="78"/>
  <c r="CA64" i="78"/>
  <c r="BZ64" i="78"/>
  <c r="CD63" i="78"/>
  <c r="CC63" i="78"/>
  <c r="CB63" i="78"/>
  <c r="CA63" i="78"/>
  <c r="BW63" i="78"/>
  <c r="BZ63" i="78"/>
  <c r="CC62" i="78"/>
  <c r="CA62" i="78"/>
  <c r="CD62" i="78"/>
  <c r="BW62" i="78"/>
  <c r="CB62" i="78"/>
  <c r="BZ62" i="78"/>
  <c r="CC61" i="78"/>
  <c r="CA61" i="78"/>
  <c r="CD61" i="78"/>
  <c r="BW61" i="78"/>
  <c r="BZ61" i="78"/>
  <c r="CD60" i="78"/>
  <c r="CC60" i="78"/>
  <c r="CB60" i="78"/>
  <c r="CA60" i="78"/>
  <c r="BZ60" i="78"/>
  <c r="BW60" i="78"/>
  <c r="CC59" i="78"/>
  <c r="CA59" i="78"/>
  <c r="CD59" i="78"/>
  <c r="BW59" i="78"/>
  <c r="CB59" i="78"/>
  <c r="CC58" i="78"/>
  <c r="CA58" i="78"/>
  <c r="BW58" i="78"/>
  <c r="CD57" i="78"/>
  <c r="CC57" i="78"/>
  <c r="CA57" i="78"/>
  <c r="BW57" i="78"/>
  <c r="CB57" i="78"/>
  <c r="BZ57" i="78"/>
  <c r="CD56" i="78"/>
  <c r="CC56" i="78"/>
  <c r="CB56" i="78"/>
  <c r="CA56" i="78"/>
  <c r="BW56" i="78"/>
  <c r="BZ56" i="78"/>
  <c r="CC55" i="78"/>
  <c r="CB55" i="78"/>
  <c r="CA55" i="78"/>
  <c r="CD55" i="78"/>
  <c r="BW55" i="78"/>
  <c r="CC54" i="78"/>
  <c r="CA54" i="78"/>
  <c r="BW54" i="78"/>
  <c r="CC53" i="78"/>
  <c r="CA53" i="78"/>
  <c r="BW53" i="78"/>
  <c r="CD52" i="78"/>
  <c r="CC52" i="78"/>
  <c r="CA52" i="78"/>
  <c r="BW52" i="78"/>
  <c r="BZ52" i="78"/>
  <c r="CD51" i="78"/>
  <c r="CC51" i="78"/>
  <c r="CA51" i="78"/>
  <c r="BZ51" i="78"/>
  <c r="BW51" i="78"/>
  <c r="CC50" i="78"/>
  <c r="CB50" i="78"/>
  <c r="CA50" i="78"/>
  <c r="BZ50" i="78"/>
  <c r="BW50" i="78"/>
  <c r="CC49" i="78"/>
  <c r="CA49" i="78"/>
  <c r="CD49" i="78"/>
  <c r="BW49" i="78"/>
  <c r="CB49" i="78"/>
  <c r="BZ49" i="78"/>
  <c r="CC48" i="78"/>
  <c r="CA48" i="78"/>
  <c r="CD48" i="78"/>
  <c r="BW48" i="78"/>
  <c r="BZ48" i="78"/>
  <c r="CD47" i="78"/>
  <c r="CC47" i="78"/>
  <c r="CA47" i="78"/>
  <c r="BW47" i="78"/>
  <c r="BZ47" i="78"/>
  <c r="CD46" i="78"/>
  <c r="CC46" i="78"/>
  <c r="CB46" i="78"/>
  <c r="CA46" i="78"/>
  <c r="BZ46" i="78"/>
  <c r="BW46" i="78"/>
  <c r="CC45" i="78"/>
  <c r="CA45" i="78"/>
  <c r="BW45" i="78"/>
  <c r="CB45" i="78"/>
  <c r="CC44" i="78"/>
  <c r="CA44" i="78"/>
  <c r="CD44" i="78"/>
  <c r="BW44" i="78"/>
  <c r="CB44" i="78"/>
  <c r="BZ44" i="78"/>
  <c r="CD43" i="78"/>
  <c r="CC43" i="78"/>
  <c r="CA43" i="78"/>
  <c r="BW43" i="78"/>
  <c r="BZ43" i="78"/>
  <c r="CD42" i="78"/>
  <c r="CC42" i="78"/>
  <c r="CB42" i="78"/>
  <c r="CA42" i="78"/>
  <c r="BW42" i="78"/>
  <c r="BZ42" i="78"/>
  <c r="CC41" i="78"/>
  <c r="CA41" i="78"/>
  <c r="BY33" i="78"/>
  <c r="BY32" i="78"/>
  <c r="BY31" i="78"/>
  <c r="BY30" i="78"/>
  <c r="BY29" i="78"/>
  <c r="BY28" i="78"/>
  <c r="BY27" i="78"/>
  <c r="BY26" i="78"/>
  <c r="BY25" i="78"/>
  <c r="BY24" i="78"/>
  <c r="BY23" i="78"/>
  <c r="BY22" i="78"/>
  <c r="BY21" i="78"/>
  <c r="BY20" i="78"/>
  <c r="BY19" i="78"/>
  <c r="BY18" i="78"/>
  <c r="BY17" i="78"/>
  <c r="BY16" i="78"/>
  <c r="BY15" i="78"/>
  <c r="BY14" i="78"/>
  <c r="BY12" i="78"/>
  <c r="BY11" i="78"/>
  <c r="BV10" i="40"/>
  <c r="BX11" i="40"/>
  <c r="BX12" i="40"/>
  <c r="BX13" i="40"/>
  <c r="BX14" i="40"/>
  <c r="BX15" i="40"/>
  <c r="BX16" i="40"/>
  <c r="BX17" i="40"/>
  <c r="BX18" i="40"/>
  <c r="BX19" i="40"/>
  <c r="BX20" i="40"/>
  <c r="BX21" i="40"/>
  <c r="BX22" i="40"/>
  <c r="BX23" i="40"/>
  <c r="BX24" i="40"/>
  <c r="BX25" i="40"/>
  <c r="BX26" i="40"/>
  <c r="BX27" i="40"/>
  <c r="BX28" i="40"/>
  <c r="BX29" i="40"/>
  <c r="BX30" i="40"/>
  <c r="BX31" i="40"/>
  <c r="BX32" i="40"/>
  <c r="BX33" i="40"/>
  <c r="BW11" i="40"/>
  <c r="BW12" i="40"/>
  <c r="BW13" i="40"/>
  <c r="BW14" i="40"/>
  <c r="BW15" i="40"/>
  <c r="BW16" i="40"/>
  <c r="BW17" i="40"/>
  <c r="BW18" i="40"/>
  <c r="BW19" i="40"/>
  <c r="BW20" i="40"/>
  <c r="BW21" i="40"/>
  <c r="BW22" i="40"/>
  <c r="BW23" i="40"/>
  <c r="BW24" i="40"/>
  <c r="BW25" i="40"/>
  <c r="BW26" i="40"/>
  <c r="BW27" i="40"/>
  <c r="BW28" i="40"/>
  <c r="BW29" i="40"/>
  <c r="BW30" i="40"/>
  <c r="BW31" i="40"/>
  <c r="BW32" i="40"/>
  <c r="BW33" i="40"/>
  <c r="BY11" i="40"/>
  <c r="BY12" i="40"/>
  <c r="BY13" i="40"/>
  <c r="BY14" i="40"/>
  <c r="BY15" i="40"/>
  <c r="BY16" i="40"/>
  <c r="BY17" i="40"/>
  <c r="BY18" i="40"/>
  <c r="BY19" i="40"/>
  <c r="BY20" i="40"/>
  <c r="BY21" i="40"/>
  <c r="BY22" i="40"/>
  <c r="BY23" i="40"/>
  <c r="BY24" i="40"/>
  <c r="BY25" i="40"/>
  <c r="BY26" i="40"/>
  <c r="BY27" i="40"/>
  <c r="BY28" i="40"/>
  <c r="BY29" i="40"/>
  <c r="BY30" i="40"/>
  <c r="BY31" i="40"/>
  <c r="BY32" i="40"/>
  <c r="BY33" i="40"/>
  <c r="BY10" i="40"/>
  <c r="BI10" i="78"/>
  <c r="BG10" i="78"/>
  <c r="BF31" i="78"/>
  <c r="BF30" i="78"/>
  <c r="AZ34" i="78"/>
  <c r="AY34" i="78"/>
  <c r="AO18" i="78"/>
  <c r="AO23" i="78"/>
  <c r="AO32" i="78"/>
  <c r="H15" i="78"/>
  <c r="D3" i="47"/>
  <c r="C3" i="45"/>
  <c r="F3" i="80"/>
  <c r="AP10" i="78"/>
  <c r="AM12" i="78"/>
  <c r="AM13" i="78"/>
  <c r="AM14" i="78"/>
  <c r="AM15" i="78"/>
  <c r="AM16" i="78"/>
  <c r="AM17" i="78"/>
  <c r="AM18" i="78"/>
  <c r="AM19" i="78"/>
  <c r="AM20" i="78"/>
  <c r="AM21" i="78"/>
  <c r="AM22" i="78"/>
  <c r="AM23" i="78"/>
  <c r="AM24" i="78"/>
  <c r="AM25" i="78"/>
  <c r="AM26" i="78"/>
  <c r="AM27" i="78"/>
  <c r="AM28" i="78"/>
  <c r="AM29" i="78"/>
  <c r="AM30" i="78"/>
  <c r="AM31" i="78"/>
  <c r="AM32" i="78"/>
  <c r="AM33" i="78"/>
  <c r="AM11" i="78"/>
  <c r="AM10" i="78"/>
  <c r="S79" i="78"/>
  <c r="R79" i="78"/>
  <c r="Q79" i="78"/>
  <c r="F32" i="5"/>
  <c r="F2" i="74"/>
  <c r="E3" i="46"/>
  <c r="F3" i="46"/>
  <c r="BA11" i="78"/>
  <c r="BA10" i="40"/>
  <c r="AY29" i="78"/>
  <c r="AY30" i="78"/>
  <c r="AY33" i="78"/>
  <c r="AZ33" i="78" s="1"/>
  <c r="AZ10" i="40"/>
  <c r="C2" i="83"/>
  <c r="AX11" i="78"/>
  <c r="BF11" i="78" s="1"/>
  <c r="BG11" i="78" s="1"/>
  <c r="BH11" i="78" s="1"/>
  <c r="AX12" i="78"/>
  <c r="BF12" i="78" s="1"/>
  <c r="BG12" i="78" s="1"/>
  <c r="BH12" i="78" s="1"/>
  <c r="AX13" i="78"/>
  <c r="BF13" i="78" s="1"/>
  <c r="BG13" i="78" s="1"/>
  <c r="BH13" i="78" s="1"/>
  <c r="AX14" i="78"/>
  <c r="BF14" i="78" s="1"/>
  <c r="BG14" i="78" s="1"/>
  <c r="BH14" i="78" s="1"/>
  <c r="AX15" i="78"/>
  <c r="AX16" i="78"/>
  <c r="BF16" i="78" s="1"/>
  <c r="BG16" i="78" s="1"/>
  <c r="BH16" i="78" s="1"/>
  <c r="AX17" i="78"/>
  <c r="BF17" i="78" s="1"/>
  <c r="BG17" i="78" s="1"/>
  <c r="BH17" i="78" s="1"/>
  <c r="AX18" i="78"/>
  <c r="AY18" i="78" s="1"/>
  <c r="AX19" i="78"/>
  <c r="BF19" i="78" s="1"/>
  <c r="BG19" i="78" s="1"/>
  <c r="BH19" i="78" s="1"/>
  <c r="AX20" i="78"/>
  <c r="AY20" i="78" s="1"/>
  <c r="AX21" i="78"/>
  <c r="BF21" i="78" s="1"/>
  <c r="BG21" i="78" s="1"/>
  <c r="BH21" i="78" s="1"/>
  <c r="AX22" i="78"/>
  <c r="BF22" i="78" s="1"/>
  <c r="BG22" i="78" s="1"/>
  <c r="BH22" i="78" s="1"/>
  <c r="AX23" i="78"/>
  <c r="BF23" i="78" s="1"/>
  <c r="BG23" i="78" s="1"/>
  <c r="BH23" i="78" s="1"/>
  <c r="AX24" i="78"/>
  <c r="BF24" i="78" s="1"/>
  <c r="BG24" i="78" s="1"/>
  <c r="BH24" i="78" s="1"/>
  <c r="AX25" i="78"/>
  <c r="BF25" i="78" s="1"/>
  <c r="BG25" i="78" s="1"/>
  <c r="BH25" i="78" s="1"/>
  <c r="AX26" i="78"/>
  <c r="BF26" i="78" s="1"/>
  <c r="BG26" i="78" s="1"/>
  <c r="BH26" i="78" s="1"/>
  <c r="AX27" i="78"/>
  <c r="BF27" i="78" s="1"/>
  <c r="BG27" i="78" s="1"/>
  <c r="BH27" i="78" s="1"/>
  <c r="AX28" i="78"/>
  <c r="BF28" i="78" s="1"/>
  <c r="BG28" i="78" s="1"/>
  <c r="BH28" i="78" s="1"/>
  <c r="AX29" i="78"/>
  <c r="BF29" i="78" s="1"/>
  <c r="BG29" i="78" s="1"/>
  <c r="BH29" i="78" s="1"/>
  <c r="AX30" i="78"/>
  <c r="BG30" i="78" s="1"/>
  <c r="BH30" i="78" s="1"/>
  <c r="AX31" i="78"/>
  <c r="BG31" i="78" s="1"/>
  <c r="BH31" i="78" s="1"/>
  <c r="AX32" i="78"/>
  <c r="AY32" i="78" s="1"/>
  <c r="AX33" i="78"/>
  <c r="BF33" i="78" s="1"/>
  <c r="BG33" i="78" s="1"/>
  <c r="BH33" i="78" s="1"/>
  <c r="AX10" i="78"/>
  <c r="AY10" i="78" s="1"/>
  <c r="AZ10" i="78" s="1"/>
  <c r="P79" i="78"/>
  <c r="AQ11" i="78"/>
  <c r="AQ12" i="78"/>
  <c r="AQ13" i="78"/>
  <c r="AQ14" i="78"/>
  <c r="AQ15" i="78"/>
  <c r="AQ16" i="78"/>
  <c r="AQ17" i="78"/>
  <c r="AQ18" i="78"/>
  <c r="AQ19" i="78"/>
  <c r="AQ20" i="78"/>
  <c r="AQ21" i="78"/>
  <c r="AQ22" i="78"/>
  <c r="AQ23" i="78"/>
  <c r="AQ24" i="78"/>
  <c r="AQ25" i="78"/>
  <c r="AQ26" i="78"/>
  <c r="AQ27" i="78"/>
  <c r="AQ28" i="78"/>
  <c r="AQ29" i="78"/>
  <c r="AQ30" i="78"/>
  <c r="AQ31" i="78"/>
  <c r="AQ32" i="78"/>
  <c r="AQ33" i="78"/>
  <c r="AQ10" i="78"/>
  <c r="AP12" i="78"/>
  <c r="AP13" i="78"/>
  <c r="AP14" i="78"/>
  <c r="AP15" i="78"/>
  <c r="AP16" i="78"/>
  <c r="AP17" i="78"/>
  <c r="AP18" i="78"/>
  <c r="AP19" i="78"/>
  <c r="AP20" i="78"/>
  <c r="AP21" i="78"/>
  <c r="AP22" i="78"/>
  <c r="AP23" i="78"/>
  <c r="AP24" i="78"/>
  <c r="AP25" i="78"/>
  <c r="AP26" i="78"/>
  <c r="AP27" i="78"/>
  <c r="AP28" i="78"/>
  <c r="AP29" i="78"/>
  <c r="AP30" i="78"/>
  <c r="AP31" i="78"/>
  <c r="AP32" i="78"/>
  <c r="AP33" i="78"/>
  <c r="AO12" i="78"/>
  <c r="AO13" i="78"/>
  <c r="AO14" i="78"/>
  <c r="AO16" i="78"/>
  <c r="AO17" i="78"/>
  <c r="AO19" i="78"/>
  <c r="AO20" i="78"/>
  <c r="AO21" i="78"/>
  <c r="AO22" i="78"/>
  <c r="AO24" i="78"/>
  <c r="AO25" i="78"/>
  <c r="AO26" i="78"/>
  <c r="AO27" i="78"/>
  <c r="AO28" i="78"/>
  <c r="AO29" i="78"/>
  <c r="AO30" i="78"/>
  <c r="AO31" i="78"/>
  <c r="AO33" i="78"/>
  <c r="AJ11" i="78"/>
  <c r="AK11" i="78"/>
  <c r="AJ12" i="78"/>
  <c r="AK12" i="78"/>
  <c r="AJ13" i="78"/>
  <c r="AK13" i="78"/>
  <c r="AJ14" i="78"/>
  <c r="AK14" i="78"/>
  <c r="AJ15" i="78"/>
  <c r="AK15" i="78"/>
  <c r="AJ16" i="78"/>
  <c r="AK16" i="78"/>
  <c r="AJ17" i="78"/>
  <c r="AK17" i="78"/>
  <c r="AJ18" i="78"/>
  <c r="AK18" i="78"/>
  <c r="AJ19" i="78"/>
  <c r="AK19" i="78"/>
  <c r="AJ20" i="78"/>
  <c r="AK20" i="78"/>
  <c r="AJ21" i="78"/>
  <c r="AK21" i="78"/>
  <c r="AJ22" i="78"/>
  <c r="AK22" i="78"/>
  <c r="AJ23" i="78"/>
  <c r="AK23" i="78"/>
  <c r="AJ24" i="78"/>
  <c r="AK24" i="78"/>
  <c r="AJ25" i="78"/>
  <c r="AK25" i="78"/>
  <c r="AJ26" i="78"/>
  <c r="AK26" i="78"/>
  <c r="AJ27" i="78"/>
  <c r="AK27" i="78"/>
  <c r="AJ28" i="78"/>
  <c r="AK28" i="78"/>
  <c r="AJ29" i="78"/>
  <c r="AK29" i="78"/>
  <c r="AJ30" i="78"/>
  <c r="AK30" i="78"/>
  <c r="AJ31" i="78"/>
  <c r="AK31" i="78"/>
  <c r="AJ32" i="78"/>
  <c r="AK32" i="78"/>
  <c r="AJ33" i="78"/>
  <c r="AK33" i="78"/>
  <c r="AK10" i="78"/>
  <c r="AJ10" i="78"/>
  <c r="AF10" i="78"/>
  <c r="AG10" i="78"/>
  <c r="AH10" i="78"/>
  <c r="AH11" i="78"/>
  <c r="AH12" i="78"/>
  <c r="AH13" i="78"/>
  <c r="AH14" i="78"/>
  <c r="AH15" i="78"/>
  <c r="AH16" i="78"/>
  <c r="AH17" i="78"/>
  <c r="AH18" i="78"/>
  <c r="AH19" i="78"/>
  <c r="AH20" i="78"/>
  <c r="AH21" i="78"/>
  <c r="AH22" i="78"/>
  <c r="AH23" i="78"/>
  <c r="AH24" i="78"/>
  <c r="AH25" i="78"/>
  <c r="AH26" i="78"/>
  <c r="AH27" i="78"/>
  <c r="AH28" i="78"/>
  <c r="AH29" i="78"/>
  <c r="AH30" i="78"/>
  <c r="AH31" i="78"/>
  <c r="AH32" i="78"/>
  <c r="AH33" i="78"/>
  <c r="AF32" i="78"/>
  <c r="AG11" i="78"/>
  <c r="AG12" i="78"/>
  <c r="AG13" i="78"/>
  <c r="AG14" i="78"/>
  <c r="AG15" i="78"/>
  <c r="AG16" i="78"/>
  <c r="AG17" i="78"/>
  <c r="AG18" i="78"/>
  <c r="AG19" i="78"/>
  <c r="AG20" i="78"/>
  <c r="AG21" i="78"/>
  <c r="AG22" i="78"/>
  <c r="AG23" i="78"/>
  <c r="AG24" i="78"/>
  <c r="AG25" i="78"/>
  <c r="AG26" i="78"/>
  <c r="AG27" i="78"/>
  <c r="AG28" i="78"/>
  <c r="AG29" i="78"/>
  <c r="AG30" i="78"/>
  <c r="AG31" i="78"/>
  <c r="AG32" i="78"/>
  <c r="AG33" i="78"/>
  <c r="AF18" i="78"/>
  <c r="AF19" i="78"/>
  <c r="AF20" i="78"/>
  <c r="AF21" i="78"/>
  <c r="AF22" i="78"/>
  <c r="AF23" i="78"/>
  <c r="AF24" i="78"/>
  <c r="AF25" i="78"/>
  <c r="AF26" i="78"/>
  <c r="AF27" i="78"/>
  <c r="AF28" i="78"/>
  <c r="AF29" i="78"/>
  <c r="AF30" i="78"/>
  <c r="AF31" i="78"/>
  <c r="AF33" i="78"/>
  <c r="AF11" i="78"/>
  <c r="AF12" i="78"/>
  <c r="AF13" i="78"/>
  <c r="AF14" i="78"/>
  <c r="AF15" i="78"/>
  <c r="AF16" i="78"/>
  <c r="AF17" i="78"/>
  <c r="AC33" i="78"/>
  <c r="AA11" i="78"/>
  <c r="AB11" i="78"/>
  <c r="AC11" i="78"/>
  <c r="AA12" i="78"/>
  <c r="AB12" i="78"/>
  <c r="AC12" i="78"/>
  <c r="AA13" i="78"/>
  <c r="AB13" i="78"/>
  <c r="AC13" i="78"/>
  <c r="AA14" i="78"/>
  <c r="AB14" i="78"/>
  <c r="AC14" i="78"/>
  <c r="AA15" i="78"/>
  <c r="AB15" i="78"/>
  <c r="AC15" i="78"/>
  <c r="AA16" i="78"/>
  <c r="AB16" i="78"/>
  <c r="AC16" i="78"/>
  <c r="AA17" i="78"/>
  <c r="AB17" i="78"/>
  <c r="AC17" i="78"/>
  <c r="AA18" i="78"/>
  <c r="AB18" i="78"/>
  <c r="AC18" i="78"/>
  <c r="AA19" i="78"/>
  <c r="AB19" i="78"/>
  <c r="AC19" i="78"/>
  <c r="AA20" i="78"/>
  <c r="AB20" i="78"/>
  <c r="AC20" i="78"/>
  <c r="AA21" i="78"/>
  <c r="AB21" i="78"/>
  <c r="AC21" i="78"/>
  <c r="AA22" i="78"/>
  <c r="AB22" i="78"/>
  <c r="AC22" i="78"/>
  <c r="AA23" i="78"/>
  <c r="AB23" i="78"/>
  <c r="AC23" i="78"/>
  <c r="AA24" i="78"/>
  <c r="AB24" i="78"/>
  <c r="AC24" i="78"/>
  <c r="AA25" i="78"/>
  <c r="AB25" i="78"/>
  <c r="AC25" i="78"/>
  <c r="AA26" i="78"/>
  <c r="AB26" i="78"/>
  <c r="AC26" i="78"/>
  <c r="AA27" i="78"/>
  <c r="AB27" i="78"/>
  <c r="AC27" i="78"/>
  <c r="AA28" i="78"/>
  <c r="AB28" i="78"/>
  <c r="AC28" i="78"/>
  <c r="AA29" i="78"/>
  <c r="AB29" i="78"/>
  <c r="AC29" i="78"/>
  <c r="AA30" i="78"/>
  <c r="AB30" i="78"/>
  <c r="AC30" i="78"/>
  <c r="AA31" i="78"/>
  <c r="AB31" i="78"/>
  <c r="AC31" i="78"/>
  <c r="AA32" i="78"/>
  <c r="AB32" i="78"/>
  <c r="AC32" i="78"/>
  <c r="AA33" i="78"/>
  <c r="AB33" i="78"/>
  <c r="AB10" i="78"/>
  <c r="AC10" i="78"/>
  <c r="AA10" i="78"/>
  <c r="Z11" i="78"/>
  <c r="Z12" i="78"/>
  <c r="Z13" i="78"/>
  <c r="Z14" i="78"/>
  <c r="Z15" i="78"/>
  <c r="Z16" i="78"/>
  <c r="Z17" i="78"/>
  <c r="Z18" i="78"/>
  <c r="Z19" i="78"/>
  <c r="Z20" i="78"/>
  <c r="Z21" i="78"/>
  <c r="Z22" i="78"/>
  <c r="Z23" i="78"/>
  <c r="Z24" i="78"/>
  <c r="Z25" i="78"/>
  <c r="Z26" i="78"/>
  <c r="Z27" i="78"/>
  <c r="Z28" i="78"/>
  <c r="Z29" i="78"/>
  <c r="Z30" i="78"/>
  <c r="Z31" i="78"/>
  <c r="Z32" i="78"/>
  <c r="Z33" i="78"/>
  <c r="Y11" i="78"/>
  <c r="Y12" i="78"/>
  <c r="Y13" i="78"/>
  <c r="Y14" i="78"/>
  <c r="Y15" i="78"/>
  <c r="Y16" i="78"/>
  <c r="Y17" i="78"/>
  <c r="Y18" i="78"/>
  <c r="Y19" i="78"/>
  <c r="Y20" i="78"/>
  <c r="Y21" i="78"/>
  <c r="Y22" i="78"/>
  <c r="Y23" i="78"/>
  <c r="Y24" i="78"/>
  <c r="Y25" i="78"/>
  <c r="Y26" i="78"/>
  <c r="Y27" i="78"/>
  <c r="Y28" i="78"/>
  <c r="Y29" i="78"/>
  <c r="Y30" i="78"/>
  <c r="Y31" i="78"/>
  <c r="Y32" i="78"/>
  <c r="Y33" i="78"/>
  <c r="X11" i="78"/>
  <c r="X12" i="78"/>
  <c r="X13" i="78"/>
  <c r="X14" i="78"/>
  <c r="X15" i="78"/>
  <c r="X16" i="78"/>
  <c r="X17" i="78"/>
  <c r="X18" i="78"/>
  <c r="X19" i="78"/>
  <c r="X20" i="78"/>
  <c r="X21" i="78"/>
  <c r="X22" i="78"/>
  <c r="X23" i="78"/>
  <c r="X24" i="78"/>
  <c r="X25" i="78"/>
  <c r="X26" i="78"/>
  <c r="X27" i="78"/>
  <c r="X28" i="78"/>
  <c r="X29" i="78"/>
  <c r="X30" i="78"/>
  <c r="X31" i="78"/>
  <c r="X32" i="78"/>
  <c r="X33" i="78"/>
  <c r="Y10" i="78"/>
  <c r="Z10" i="78"/>
  <c r="X10" i="78"/>
  <c r="V11" i="78"/>
  <c r="W11" i="78"/>
  <c r="V12" i="78"/>
  <c r="W12" i="78"/>
  <c r="V13" i="78"/>
  <c r="W13" i="78"/>
  <c r="V14" i="78"/>
  <c r="W14" i="78"/>
  <c r="V15" i="78"/>
  <c r="W15" i="78"/>
  <c r="V16" i="78"/>
  <c r="W16" i="78"/>
  <c r="V17" i="78"/>
  <c r="W17" i="78"/>
  <c r="V18" i="78"/>
  <c r="W18" i="78"/>
  <c r="V19" i="78"/>
  <c r="W19" i="78"/>
  <c r="V20" i="78"/>
  <c r="W20" i="78"/>
  <c r="V21" i="78"/>
  <c r="W21" i="78"/>
  <c r="V22" i="78"/>
  <c r="W22" i="78"/>
  <c r="V23" i="78"/>
  <c r="W23" i="78"/>
  <c r="V24" i="78"/>
  <c r="W24" i="78"/>
  <c r="V25" i="78"/>
  <c r="W25" i="78"/>
  <c r="V26" i="78"/>
  <c r="W26" i="78"/>
  <c r="V27" i="78"/>
  <c r="W27" i="78"/>
  <c r="V28" i="78"/>
  <c r="W28" i="78"/>
  <c r="V29" i="78"/>
  <c r="W29" i="78"/>
  <c r="V30" i="78"/>
  <c r="W30" i="78"/>
  <c r="V31" i="78"/>
  <c r="W31" i="78"/>
  <c r="V32" i="78"/>
  <c r="W32" i="78"/>
  <c r="V33" i="78"/>
  <c r="W33" i="78"/>
  <c r="W10" i="78"/>
  <c r="V10" i="78"/>
  <c r="L11" i="78"/>
  <c r="L12" i="78"/>
  <c r="L13" i="78"/>
  <c r="L14" i="78"/>
  <c r="L15" i="78"/>
  <c r="L16" i="78"/>
  <c r="L17" i="78"/>
  <c r="L18" i="78"/>
  <c r="L19" i="78"/>
  <c r="L20" i="78"/>
  <c r="L21" i="78"/>
  <c r="L22" i="78"/>
  <c r="L23" i="78"/>
  <c r="L24" i="78"/>
  <c r="L25" i="78"/>
  <c r="L26" i="78"/>
  <c r="L27" i="78"/>
  <c r="L28" i="78"/>
  <c r="L29" i="78"/>
  <c r="L30" i="78"/>
  <c r="L31" i="78"/>
  <c r="L32" i="78"/>
  <c r="L33" i="78"/>
  <c r="L10" i="78"/>
  <c r="K11" i="78"/>
  <c r="K12" i="78"/>
  <c r="K13" i="78"/>
  <c r="K14" i="78"/>
  <c r="K15" i="78"/>
  <c r="K16" i="78"/>
  <c r="K17" i="78"/>
  <c r="K18" i="78"/>
  <c r="K19" i="78"/>
  <c r="K20" i="78"/>
  <c r="K21" i="78"/>
  <c r="K22" i="78"/>
  <c r="K23" i="78"/>
  <c r="K24" i="78"/>
  <c r="K25" i="78"/>
  <c r="K26" i="78"/>
  <c r="K27" i="78"/>
  <c r="K28" i="78"/>
  <c r="K29" i="78"/>
  <c r="K30" i="78"/>
  <c r="K31" i="78"/>
  <c r="K32" i="78"/>
  <c r="K33" i="78"/>
  <c r="K10" i="78"/>
  <c r="T10" i="78" s="1"/>
  <c r="J11" i="78"/>
  <c r="J12" i="78"/>
  <c r="J13" i="78"/>
  <c r="J14" i="78"/>
  <c r="J15" i="78"/>
  <c r="J16" i="78"/>
  <c r="J17" i="78"/>
  <c r="J18" i="78"/>
  <c r="J19" i="78"/>
  <c r="J20" i="78"/>
  <c r="J21" i="78"/>
  <c r="J22" i="78"/>
  <c r="J23" i="78"/>
  <c r="J24" i="78"/>
  <c r="J25" i="78"/>
  <c r="J26" i="78"/>
  <c r="J27" i="78"/>
  <c r="J28" i="78"/>
  <c r="J29" i="78"/>
  <c r="J30" i="78"/>
  <c r="J31" i="78"/>
  <c r="J32" i="78"/>
  <c r="J33" i="78"/>
  <c r="H11" i="78"/>
  <c r="H12" i="78"/>
  <c r="H13" i="78"/>
  <c r="H14" i="78"/>
  <c r="H16" i="78"/>
  <c r="H17" i="78"/>
  <c r="H18" i="78"/>
  <c r="H19" i="78"/>
  <c r="H20" i="78"/>
  <c r="H21" i="78"/>
  <c r="H22" i="78"/>
  <c r="H23" i="78"/>
  <c r="H24" i="78"/>
  <c r="H25" i="78"/>
  <c r="H26" i="78"/>
  <c r="H27" i="78"/>
  <c r="H28" i="78"/>
  <c r="H29" i="78"/>
  <c r="H30" i="78"/>
  <c r="H31" i="78"/>
  <c r="H32" i="78"/>
  <c r="H10" i="78"/>
  <c r="Q10" i="78" s="1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I33" i="78"/>
  <c r="I10" i="78"/>
  <c r="H33" i="78"/>
  <c r="O2" i="83"/>
  <c r="N2" i="83"/>
  <c r="L2" i="83"/>
  <c r="K2" i="83"/>
  <c r="I2" i="83"/>
  <c r="H2" i="83"/>
  <c r="G2" i="83"/>
  <c r="F2" i="83"/>
  <c r="E2" i="83"/>
  <c r="D2" i="83"/>
  <c r="N3" i="81"/>
  <c r="M3" i="81"/>
  <c r="K3" i="81"/>
  <c r="J3" i="81"/>
  <c r="I3" i="81"/>
  <c r="H3" i="81"/>
  <c r="G3" i="81"/>
  <c r="F3" i="81"/>
  <c r="E3" i="81"/>
  <c r="D3" i="81"/>
  <c r="C3" i="81"/>
  <c r="L3" i="80"/>
  <c r="K3" i="80"/>
  <c r="H3" i="80"/>
  <c r="G3" i="80"/>
  <c r="E3" i="80"/>
  <c r="D3" i="80"/>
  <c r="C3" i="80"/>
  <c r="B3" i="80"/>
  <c r="F28" i="78" a="1"/>
  <c r="E16" i="78" a="1"/>
  <c r="F18" i="78" a="1"/>
  <c r="G20" i="78" a="1"/>
  <c r="E23" i="78" a="1"/>
  <c r="F25" i="78" a="1"/>
  <c r="G27" i="78" a="1"/>
  <c r="E30" i="78" a="1"/>
  <c r="E27" i="78" a="1"/>
  <c r="E25" i="78" a="1"/>
  <c r="F29" i="78" a="1"/>
  <c r="F16" i="78" a="1"/>
  <c r="G18" i="78" a="1"/>
  <c r="E21" i="78" a="1"/>
  <c r="F23" i="78" a="1"/>
  <c r="G25" i="78" a="1"/>
  <c r="E28" i="78" a="1"/>
  <c r="F30" i="78" a="1"/>
  <c r="G32" i="78" a="1"/>
  <c r="G24" i="78" a="1"/>
  <c r="G16" i="78" a="1"/>
  <c r="E19" i="78" a="1"/>
  <c r="F21" i="78" a="1"/>
  <c r="G23" i="78" a="1"/>
  <c r="E26" i="78" a="1"/>
  <c r="G30" i="78" a="1"/>
  <c r="E33" i="78" a="1"/>
  <c r="F27" i="78" a="1"/>
  <c r="E17" i="78" a="1"/>
  <c r="F19" i="78" a="1"/>
  <c r="G21" i="78" a="1"/>
  <c r="E24" i="78" a="1"/>
  <c r="F26" i="78" a="1"/>
  <c r="G28" i="78" a="1"/>
  <c r="E31" i="78" a="1"/>
  <c r="F33" i="78" a="1"/>
  <c r="G31" i="78" a="1"/>
  <c r="G22" i="78" a="1"/>
  <c r="E29" i="78" a="1"/>
  <c r="E18" i="78" a="1"/>
  <c r="F17" i="78" a="1"/>
  <c r="G19" i="78" a="1"/>
  <c r="E22" i="78" a="1"/>
  <c r="F24" i="78" a="1"/>
  <c r="G26" i="78" a="1"/>
  <c r="F31" i="78" a="1"/>
  <c r="G33" i="78" a="1"/>
  <c r="G29" i="78" a="1"/>
  <c r="G17" i="78" a="1"/>
  <c r="E20" i="78" a="1"/>
  <c r="E32" i="78" a="1"/>
  <c r="F32" i="78" a="1"/>
  <c r="F22" i="78" a="1"/>
  <c r="F20" i="78" a="1"/>
  <c r="G15" i="78" a="1"/>
  <c r="F15" i="78" a="1"/>
  <c r="E15" i="78" a="1"/>
  <c r="D33" i="78" a="1"/>
  <c r="D32" i="78" a="1"/>
  <c r="D24" i="78" a="1"/>
  <c r="D31" i="78" a="1"/>
  <c r="D25" i="78" a="1"/>
  <c r="D26" i="78" a="1"/>
  <c r="D27" i="78" a="1"/>
  <c r="D28" i="78" a="1"/>
  <c r="D29" i="78" a="1"/>
  <c r="D30" i="78" a="1"/>
  <c r="D23" i="78" a="1"/>
  <c r="D11" i="78" a="1"/>
  <c r="D18" i="78" a="1"/>
  <c r="D12" i="78" a="1"/>
  <c r="D19" i="78" a="1"/>
  <c r="D13" i="78" a="1"/>
  <c r="D20" i="78" a="1"/>
  <c r="D14" i="78" a="1"/>
  <c r="D21" i="78" a="1"/>
  <c r="D22" i="78" a="1"/>
  <c r="D15" i="78" a="1"/>
  <c r="D16" i="78" a="1"/>
  <c r="D17" i="78" a="1"/>
  <c r="D10" i="78" a="1"/>
  <c r="G10" i="78" a="1"/>
  <c r="F10" i="78" a="1"/>
  <c r="E10" i="78" a="1"/>
  <c r="D11" i="40" a="1"/>
  <c r="D10" i="40" a="1"/>
  <c r="BH10" i="78" l="1"/>
  <c r="BJ10" i="78" s="1"/>
  <c r="AY28" i="78"/>
  <c r="AY26" i="78"/>
  <c r="AY23" i="78"/>
  <c r="BF32" i="78"/>
  <c r="BG32" i="78" s="1"/>
  <c r="BH32" i="78" s="1"/>
  <c r="AO15" i="78"/>
  <c r="AF35" i="78"/>
  <c r="AY19" i="78"/>
  <c r="AX34" i="78"/>
  <c r="AY16" i="78"/>
  <c r="AY15" i="78"/>
  <c r="BF18" i="78"/>
  <c r="BG18" i="78" s="1"/>
  <c r="BH18" i="78" s="1"/>
  <c r="AY14" i="78"/>
  <c r="AO11" i="78"/>
  <c r="AY12" i="78"/>
  <c r="AO10" i="78"/>
  <c r="BB33" i="78"/>
  <c r="BC33" i="78"/>
  <c r="BD33" i="78" s="1"/>
  <c r="AY31" i="78"/>
  <c r="AY17" i="78"/>
  <c r="BF20" i="78"/>
  <c r="BG20" i="78" s="1"/>
  <c r="BH20" i="78" s="1"/>
  <c r="AF34" i="78"/>
  <c r="J9" i="7" s="1"/>
  <c r="V9" i="7" s="1"/>
  <c r="AP9" i="7" s="1"/>
  <c r="AY27" i="78"/>
  <c r="AY13" i="78"/>
  <c r="BF15" i="78"/>
  <c r="BG15" i="78" s="1"/>
  <c r="BH15" i="78" s="1"/>
  <c r="L9" i="7"/>
  <c r="AY25" i="78"/>
  <c r="AY11" i="78"/>
  <c r="AN10" i="78"/>
  <c r="AY24" i="78"/>
  <c r="AY22" i="78"/>
  <c r="AY21" i="78"/>
  <c r="F20" i="78"/>
  <c r="F22" i="78"/>
  <c r="F32" i="78"/>
  <c r="E32" i="78"/>
  <c r="E20" i="78"/>
  <c r="G17" i="78"/>
  <c r="G29" i="78"/>
  <c r="G33" i="78"/>
  <c r="F31" i="78"/>
  <c r="G26" i="78"/>
  <c r="F24" i="78"/>
  <c r="E22" i="78"/>
  <c r="G19" i="78"/>
  <c r="F17" i="78"/>
  <c r="E18" i="78"/>
  <c r="E29" i="78"/>
  <c r="G22" i="78"/>
  <c r="G31" i="78"/>
  <c r="F33" i="78"/>
  <c r="E31" i="78"/>
  <c r="G28" i="78"/>
  <c r="F26" i="78"/>
  <c r="E24" i="78"/>
  <c r="G21" i="78"/>
  <c r="F19" i="78"/>
  <c r="E17" i="78"/>
  <c r="F27" i="78"/>
  <c r="E33" i="78"/>
  <c r="G30" i="78"/>
  <c r="E26" i="78"/>
  <c r="G23" i="78"/>
  <c r="F21" i="78"/>
  <c r="E19" i="78"/>
  <c r="G16" i="78"/>
  <c r="G24" i="78"/>
  <c r="G32" i="78"/>
  <c r="F30" i="78"/>
  <c r="E28" i="78"/>
  <c r="F28" i="78"/>
  <c r="G25" i="78"/>
  <c r="F23" i="78"/>
  <c r="E21" i="78"/>
  <c r="G18" i="78"/>
  <c r="F16" i="78"/>
  <c r="F29" i="78"/>
  <c r="E25" i="78"/>
  <c r="E27" i="78"/>
  <c r="E30" i="78"/>
  <c r="G27" i="78"/>
  <c r="F25" i="78"/>
  <c r="E23" i="78"/>
  <c r="G20" i="78"/>
  <c r="F18" i="78"/>
  <c r="E16" i="78"/>
  <c r="G15" i="78"/>
  <c r="F15" i="78"/>
  <c r="E15" i="78"/>
  <c r="D33" i="78"/>
  <c r="D32" i="78"/>
  <c r="D30" i="78"/>
  <c r="D29" i="78"/>
  <c r="D28" i="78"/>
  <c r="D27" i="78"/>
  <c r="D26" i="78"/>
  <c r="D25" i="78"/>
  <c r="D31" i="78"/>
  <c r="D24" i="78"/>
  <c r="D23" i="78"/>
  <c r="D17" i="78"/>
  <c r="D16" i="78"/>
  <c r="D15" i="78"/>
  <c r="D22" i="78"/>
  <c r="D21" i="78"/>
  <c r="D14" i="78"/>
  <c r="D20" i="78"/>
  <c r="D13" i="78"/>
  <c r="D19" i="78"/>
  <c r="D12" i="78"/>
  <c r="D18" i="78"/>
  <c r="D11" i="78"/>
  <c r="D10" i="78"/>
  <c r="E10" i="78"/>
  <c r="F10" i="78"/>
  <c r="G10" i="78"/>
  <c r="D11" i="40"/>
  <c r="D10" i="40"/>
  <c r="AN11" i="78"/>
  <c r="AG35" i="78"/>
  <c r="AG34" i="78"/>
  <c r="K9" i="7" s="1"/>
  <c r="W9" i="7" s="1"/>
  <c r="AQ9" i="7" s="1"/>
  <c r="BE33" i="78" l="1"/>
  <c r="CB64" i="78"/>
  <c r="X9" i="7"/>
  <c r="AR9" i="7" s="1"/>
  <c r="AO34" i="78"/>
  <c r="AS10" i="78"/>
  <c r="AR10" i="78"/>
  <c r="BH34" i="78"/>
  <c r="AR11" i="78"/>
  <c r="AS11" i="78"/>
  <c r="AN12" i="78"/>
  <c r="CC11" i="78" l="1"/>
  <c r="CE11" i="78"/>
  <c r="CD11" i="78"/>
  <c r="CD10" i="78"/>
  <c r="AN13" i="78"/>
  <c r="AR12" i="78"/>
  <c r="AS12" i="78"/>
  <c r="CC12" i="78" l="1"/>
  <c r="CE12" i="78"/>
  <c r="CD12" i="78"/>
  <c r="AS13" i="78"/>
  <c r="AR13" i="78"/>
  <c r="AN14" i="78"/>
  <c r="CD13" i="78" l="1"/>
  <c r="CC13" i="78"/>
  <c r="CE13" i="78"/>
  <c r="AR14" i="78"/>
  <c r="AS14" i="78"/>
  <c r="AN15" i="78"/>
  <c r="G3" i="45"/>
  <c r="BY86" i="78"/>
  <c r="BX86" i="78"/>
  <c r="BU86" i="78"/>
  <c r="BT86" i="78"/>
  <c r="BY85" i="78"/>
  <c r="BX85" i="78"/>
  <c r="BU85" i="78"/>
  <c r="BT85" i="78"/>
  <c r="BY84" i="78"/>
  <c r="BX84" i="78"/>
  <c r="BU84" i="78"/>
  <c r="BT84" i="78"/>
  <c r="BY83" i="78"/>
  <c r="BX83" i="78"/>
  <c r="BU83" i="78"/>
  <c r="BT83" i="78"/>
  <c r="BY82" i="78"/>
  <c r="BX82" i="78"/>
  <c r="BU82" i="78"/>
  <c r="BT82" i="78"/>
  <c r="BY81" i="78"/>
  <c r="BX81" i="78"/>
  <c r="BU81" i="78"/>
  <c r="BT81" i="78"/>
  <c r="BY80" i="78"/>
  <c r="BX80" i="78"/>
  <c r="BU80" i="78"/>
  <c r="BT80" i="78"/>
  <c r="BY79" i="78"/>
  <c r="BX79" i="78"/>
  <c r="BU79" i="78"/>
  <c r="BT79" i="78"/>
  <c r="BY78" i="78"/>
  <c r="BX78" i="78"/>
  <c r="BU78" i="78"/>
  <c r="BT78" i="78"/>
  <c r="BY77" i="78"/>
  <c r="BX77" i="78"/>
  <c r="BU77" i="78"/>
  <c r="BT77" i="78"/>
  <c r="BY76" i="78"/>
  <c r="BX76" i="78"/>
  <c r="BU76" i="78"/>
  <c r="BT76" i="78"/>
  <c r="BY75" i="78"/>
  <c r="BX75" i="78"/>
  <c r="BU75" i="78"/>
  <c r="BT75" i="78"/>
  <c r="BY74" i="78"/>
  <c r="BX74" i="78"/>
  <c r="BU74" i="78"/>
  <c r="BT74" i="78"/>
  <c r="BY73" i="78"/>
  <c r="BX73" i="78"/>
  <c r="BU73" i="78"/>
  <c r="BT73" i="78"/>
  <c r="BY72" i="78"/>
  <c r="BX72" i="78"/>
  <c r="BU72" i="78"/>
  <c r="BT72" i="78"/>
  <c r="BY71" i="78"/>
  <c r="BX71" i="78"/>
  <c r="BU71" i="78"/>
  <c r="BT71" i="78"/>
  <c r="BY70" i="78"/>
  <c r="BX70" i="78"/>
  <c r="BU70" i="78"/>
  <c r="BT70" i="78"/>
  <c r="BY69" i="78"/>
  <c r="BX69" i="78"/>
  <c r="BU69" i="78"/>
  <c r="BT69" i="78"/>
  <c r="BY68" i="78"/>
  <c r="BX68" i="78"/>
  <c r="BU68" i="78"/>
  <c r="BT68" i="78"/>
  <c r="BY67" i="78"/>
  <c r="BX67" i="78"/>
  <c r="BU67" i="78"/>
  <c r="BT67" i="78"/>
  <c r="BY66" i="78"/>
  <c r="BX66" i="78"/>
  <c r="BU66" i="78"/>
  <c r="BT66" i="78"/>
  <c r="BY65" i="78"/>
  <c r="BU65" i="78"/>
  <c r="BT65" i="78"/>
  <c r="F63" i="78"/>
  <c r="AG36" i="78"/>
  <c r="D63" i="78" s="1"/>
  <c r="AW34" i="78"/>
  <c r="AE33" i="78"/>
  <c r="T33" i="78"/>
  <c r="R33" i="78"/>
  <c r="S33" i="78"/>
  <c r="Q33" i="78"/>
  <c r="C33" i="78"/>
  <c r="AZ32" i="78"/>
  <c r="AE32" i="78"/>
  <c r="AD32" i="78"/>
  <c r="S32" i="78"/>
  <c r="Q32" i="78"/>
  <c r="T32" i="78"/>
  <c r="R32" i="78"/>
  <c r="C32" i="78"/>
  <c r="AZ31" i="78"/>
  <c r="T31" i="78"/>
  <c r="Q31" i="78"/>
  <c r="S31" i="78"/>
  <c r="R31" i="78"/>
  <c r="C31" i="78"/>
  <c r="AZ30" i="78"/>
  <c r="CN30" i="78"/>
  <c r="AD30" i="78"/>
  <c r="AE30" i="78"/>
  <c r="T30" i="78"/>
  <c r="S30" i="78"/>
  <c r="R30" i="78"/>
  <c r="Q30" i="78"/>
  <c r="C30" i="78"/>
  <c r="AZ29" i="78"/>
  <c r="CN29" i="78"/>
  <c r="S29" i="78"/>
  <c r="T29" i="78"/>
  <c r="Q29" i="78"/>
  <c r="C29" i="78"/>
  <c r="AZ28" i="78"/>
  <c r="AD28" i="78"/>
  <c r="AE28" i="78"/>
  <c r="Q28" i="78"/>
  <c r="T28" i="78"/>
  <c r="S28" i="78"/>
  <c r="R28" i="78"/>
  <c r="C28" i="78"/>
  <c r="CN27" i="78"/>
  <c r="AZ27" i="78"/>
  <c r="CN28" i="78"/>
  <c r="CM27" i="78"/>
  <c r="AE27" i="78"/>
  <c r="AD27" i="78"/>
  <c r="T27" i="78"/>
  <c r="S27" i="78"/>
  <c r="R27" i="78"/>
  <c r="C27" i="78"/>
  <c r="AZ26" i="78"/>
  <c r="CN26" i="78"/>
  <c r="CM26" i="78"/>
  <c r="AE26" i="78"/>
  <c r="T26" i="78"/>
  <c r="S26" i="78"/>
  <c r="R26" i="78"/>
  <c r="Q26" i="78"/>
  <c r="C26" i="78"/>
  <c r="CN25" i="78"/>
  <c r="AZ25" i="78"/>
  <c r="CM25" i="78"/>
  <c r="AE25" i="78"/>
  <c r="AD25" i="78"/>
  <c r="R25" i="78"/>
  <c r="Q25" i="78"/>
  <c r="T25" i="78"/>
  <c r="S25" i="78"/>
  <c r="C25" i="78"/>
  <c r="AZ24" i="78"/>
  <c r="CN24" i="78"/>
  <c r="T24" i="78"/>
  <c r="S24" i="78"/>
  <c r="CI24" i="78" s="1"/>
  <c r="R24" i="78"/>
  <c r="C24" i="78"/>
  <c r="CN23" i="78"/>
  <c r="AZ23" i="78"/>
  <c r="AE23" i="78"/>
  <c r="AD23" i="78"/>
  <c r="Q23" i="78"/>
  <c r="T23" i="78"/>
  <c r="S23" i="78"/>
  <c r="C23" i="78"/>
  <c r="AZ22" i="78"/>
  <c r="CN22" i="78"/>
  <c r="CM23" i="78"/>
  <c r="T22" i="78"/>
  <c r="S22" i="78"/>
  <c r="CI22" i="78" s="1"/>
  <c r="R22" i="78"/>
  <c r="C22" i="78"/>
  <c r="CM21" i="78"/>
  <c r="AZ21" i="78"/>
  <c r="CN21" i="78"/>
  <c r="AD21" i="78"/>
  <c r="AE21" i="78"/>
  <c r="T21" i="78"/>
  <c r="S21" i="78"/>
  <c r="R21" i="78"/>
  <c r="Q21" i="78"/>
  <c r="C21" i="78"/>
  <c r="AZ20" i="78"/>
  <c r="CN20" i="78"/>
  <c r="CM20" i="78"/>
  <c r="AE20" i="78"/>
  <c r="S20" i="78"/>
  <c r="R20" i="78"/>
  <c r="T20" i="78"/>
  <c r="C20" i="78"/>
  <c r="AZ19" i="78"/>
  <c r="CN19" i="78"/>
  <c r="CM19" i="78"/>
  <c r="T19" i="78"/>
  <c r="S19" i="78"/>
  <c r="R19" i="78"/>
  <c r="C19" i="78"/>
  <c r="CM18" i="78"/>
  <c r="AZ18" i="78"/>
  <c r="CN18" i="78"/>
  <c r="AD18" i="78"/>
  <c r="AE18" i="78"/>
  <c r="R18" i="78"/>
  <c r="Q18" i="78"/>
  <c r="CG18" i="78" s="1"/>
  <c r="T18" i="78"/>
  <c r="C18" i="78"/>
  <c r="AZ17" i="78"/>
  <c r="CN17" i="78"/>
  <c r="T17" i="78"/>
  <c r="S17" i="78"/>
  <c r="R17" i="78"/>
  <c r="Q17" i="78"/>
  <c r="C17" i="78"/>
  <c r="CN16" i="78"/>
  <c r="BM16" i="78"/>
  <c r="AZ16" i="78"/>
  <c r="CM16" i="78"/>
  <c r="AD16" i="78"/>
  <c r="AE16" i="78"/>
  <c r="S16" i="78"/>
  <c r="R16" i="78"/>
  <c r="Q16" i="78"/>
  <c r="T16" i="78"/>
  <c r="C16" i="78"/>
  <c r="BM15" i="78"/>
  <c r="AZ15" i="78"/>
  <c r="CN15" i="78"/>
  <c r="R15" i="78"/>
  <c r="T15" i="78"/>
  <c r="S15" i="78"/>
  <c r="C15" i="78"/>
  <c r="CN14" i="78"/>
  <c r="BM14" i="78"/>
  <c r="AZ14" i="78"/>
  <c r="CM14" i="78"/>
  <c r="S14" i="78"/>
  <c r="R14" i="78"/>
  <c r="T14" i="78"/>
  <c r="C14" i="78"/>
  <c r="CN13" i="78"/>
  <c r="CM13" i="78"/>
  <c r="AZ13" i="78"/>
  <c r="BM13" i="78"/>
  <c r="AE13" i="78"/>
  <c r="Q13" i="78"/>
  <c r="T13" i="78"/>
  <c r="S13" i="78"/>
  <c r="R13" i="78"/>
  <c r="C13" i="78"/>
  <c r="CN12" i="78"/>
  <c r="CM12" i="78"/>
  <c r="BM12" i="78"/>
  <c r="AZ12" i="78"/>
  <c r="AE12" i="78"/>
  <c r="T12" i="78"/>
  <c r="S12" i="78"/>
  <c r="R12" i="78"/>
  <c r="Q12" i="78"/>
  <c r="C12" i="78"/>
  <c r="CM11" i="78"/>
  <c r="BM11" i="78"/>
  <c r="AZ11" i="78"/>
  <c r="CN11" i="78"/>
  <c r="AE11" i="78"/>
  <c r="AD11" i="78"/>
  <c r="S11" i="78"/>
  <c r="R11" i="78"/>
  <c r="Q11" i="78"/>
  <c r="U11" i="78" s="1"/>
  <c r="T11" i="78"/>
  <c r="C11" i="78"/>
  <c r="CM10" i="78"/>
  <c r="BC10" i="78"/>
  <c r="BD10" i="78" s="1"/>
  <c r="CN10" i="78"/>
  <c r="BM10" i="78"/>
  <c r="AE10" i="78"/>
  <c r="C10" i="78"/>
  <c r="G14" i="78" a="1"/>
  <c r="G13" i="78" a="1"/>
  <c r="F14" i="78" a="1"/>
  <c r="G12" i="78" a="1"/>
  <c r="F13" i="78" a="1"/>
  <c r="F12" i="78" a="1"/>
  <c r="G11" i="78" a="1"/>
  <c r="E13" i="78" a="1"/>
  <c r="F11" i="78" a="1"/>
  <c r="E14" i="78" a="1"/>
  <c r="E11" i="78" a="1"/>
  <c r="E12" i="78" a="1"/>
  <c r="CC14" i="78" l="1"/>
  <c r="CE14" i="78"/>
  <c r="CD14" i="78"/>
  <c r="CA14" i="78"/>
  <c r="CI20" i="78"/>
  <c r="CI12" i="78"/>
  <c r="CH26" i="78"/>
  <c r="CI18" i="78"/>
  <c r="CI23" i="78"/>
  <c r="CI27" i="78"/>
  <c r="BE10" i="78"/>
  <c r="BB12" i="78"/>
  <c r="BC12" i="78"/>
  <c r="BD12" i="78" s="1"/>
  <c r="BE12" i="78" s="1"/>
  <c r="BC13" i="78"/>
  <c r="BD13" i="78" s="1"/>
  <c r="BE13" i="78" s="1"/>
  <c r="BB13" i="78"/>
  <c r="BC14" i="78"/>
  <c r="BD14" i="78" s="1"/>
  <c r="BE14" i="78" s="1"/>
  <c r="BB14" i="78"/>
  <c r="BC15" i="78"/>
  <c r="BD15" i="78" s="1"/>
  <c r="BE15" i="78" s="1"/>
  <c r="BB15" i="78"/>
  <c r="BC16" i="78"/>
  <c r="BD16" i="78" s="1"/>
  <c r="BE16" i="78" s="1"/>
  <c r="BB16" i="78"/>
  <c r="BC17" i="78"/>
  <c r="BD17" i="78" s="1"/>
  <c r="BE17" i="78" s="1"/>
  <c r="BB17" i="78"/>
  <c r="BB18" i="78"/>
  <c r="BC18" i="78"/>
  <c r="BD18" i="78" s="1"/>
  <c r="BE18" i="78" s="1"/>
  <c r="BB19" i="78"/>
  <c r="BI19" i="78" s="1"/>
  <c r="BC19" i="78"/>
  <c r="BD19" i="78" s="1"/>
  <c r="BE19" i="78" s="1"/>
  <c r="BB20" i="78"/>
  <c r="BC20" i="78"/>
  <c r="BD20" i="78" s="1"/>
  <c r="BE20" i="78" s="1"/>
  <c r="BB21" i="78"/>
  <c r="BC21" i="78"/>
  <c r="BD21" i="78" s="1"/>
  <c r="BE21" i="78" s="1"/>
  <c r="BB22" i="78"/>
  <c r="BC22" i="78"/>
  <c r="BD22" i="78" s="1"/>
  <c r="BE22" i="78" s="1"/>
  <c r="BB23" i="78"/>
  <c r="BC23" i="78"/>
  <c r="BD23" i="78" s="1"/>
  <c r="BE23" i="78" s="1"/>
  <c r="BB24" i="78"/>
  <c r="BC24" i="78"/>
  <c r="BD24" i="78" s="1"/>
  <c r="BE24" i="78" s="1"/>
  <c r="BI24" i="78" s="1"/>
  <c r="BJ24" i="78" s="1"/>
  <c r="BB25" i="78"/>
  <c r="BC25" i="78"/>
  <c r="BD25" i="78" s="1"/>
  <c r="BE25" i="78" s="1"/>
  <c r="BB26" i="78"/>
  <c r="BI26" i="78" s="1"/>
  <c r="BC26" i="78"/>
  <c r="BD26" i="78" s="1"/>
  <c r="BE26" i="78" s="1"/>
  <c r="BC27" i="78"/>
  <c r="BD27" i="78" s="1"/>
  <c r="BE27" i="78" s="1"/>
  <c r="BB27" i="78"/>
  <c r="BC28" i="78"/>
  <c r="BD28" i="78" s="1"/>
  <c r="BE28" i="78" s="1"/>
  <c r="BB28" i="78"/>
  <c r="BC29" i="78"/>
  <c r="BD29" i="78" s="1"/>
  <c r="BE29" i="78" s="1"/>
  <c r="BB29" i="78"/>
  <c r="BC30" i="78"/>
  <c r="BD30" i="78" s="1"/>
  <c r="BE30" i="78" s="1"/>
  <c r="BB30" i="78"/>
  <c r="BC31" i="78"/>
  <c r="BD31" i="78" s="1"/>
  <c r="BE31" i="78" s="1"/>
  <c r="BB31" i="78"/>
  <c r="BC32" i="78"/>
  <c r="BD32" i="78" s="1"/>
  <c r="BE32" i="78" s="1"/>
  <c r="BB32" i="78"/>
  <c r="AS15" i="78"/>
  <c r="AR15" i="78"/>
  <c r="AN16" i="78"/>
  <c r="BO15" i="78"/>
  <c r="BQ12" i="78"/>
  <c r="CH18" i="78"/>
  <c r="CH20" i="78"/>
  <c r="CI15" i="78"/>
  <c r="CG17" i="78"/>
  <c r="U32" i="78"/>
  <c r="U21" i="78"/>
  <c r="BI14" i="78"/>
  <c r="BQ11" i="78"/>
  <c r="BO12" i="78"/>
  <c r="CH15" i="78"/>
  <c r="CH25" i="78"/>
  <c r="CH24" i="78"/>
  <c r="CI17" i="78"/>
  <c r="CI19" i="78"/>
  <c r="CI13" i="78"/>
  <c r="U17" i="78"/>
  <c r="CI28" i="78"/>
  <c r="U33" i="78"/>
  <c r="F13" i="78"/>
  <c r="G13" i="78"/>
  <c r="F12" i="78"/>
  <c r="E12" i="78"/>
  <c r="E11" i="78"/>
  <c r="G11" i="78"/>
  <c r="G14" i="78"/>
  <c r="G12" i="78"/>
  <c r="F11" i="78"/>
  <c r="E13" i="78"/>
  <c r="E14" i="78"/>
  <c r="F14" i="78"/>
  <c r="CG10" i="78"/>
  <c r="BL10" i="78"/>
  <c r="CH13" i="78"/>
  <c r="CH14" i="78"/>
  <c r="U13" i="78"/>
  <c r="CH12" i="78"/>
  <c r="BN13" i="78"/>
  <c r="CG12" i="78"/>
  <c r="U12" i="78"/>
  <c r="BL12" i="78"/>
  <c r="BO13" i="78"/>
  <c r="CG11" i="78"/>
  <c r="BN14" i="78"/>
  <c r="BQ14" i="78"/>
  <c r="BC11" i="78"/>
  <c r="BD11" i="78" s="1"/>
  <c r="BE11" i="78" s="1"/>
  <c r="BB11" i="78"/>
  <c r="BO11" i="78"/>
  <c r="BQ13" i="78"/>
  <c r="AE15" i="78"/>
  <c r="AD15" i="78"/>
  <c r="CI14" i="78"/>
  <c r="R29" i="78"/>
  <c r="CH29" i="78" s="1"/>
  <c r="BN15" i="78"/>
  <c r="CH17" i="78"/>
  <c r="CJ17" i="78" s="1"/>
  <c r="CK17" i="78" s="1"/>
  <c r="CH19" i="78"/>
  <c r="CI25" i="78"/>
  <c r="J36" i="78"/>
  <c r="J35" i="78"/>
  <c r="J34" i="78"/>
  <c r="K36" i="78"/>
  <c r="K35" i="78"/>
  <c r="K34" i="78"/>
  <c r="AC36" i="78"/>
  <c r="D61" i="78" s="1"/>
  <c r="AC35" i="78"/>
  <c r="AC34" i="78"/>
  <c r="E61" i="78"/>
  <c r="AD10" i="78"/>
  <c r="Q15" i="78"/>
  <c r="CM17" i="78"/>
  <c r="U18" i="78"/>
  <c r="I36" i="78"/>
  <c r="I35" i="78"/>
  <c r="I34" i="78"/>
  <c r="BP15" i="78"/>
  <c r="CG29" i="78"/>
  <c r="AB36" i="78"/>
  <c r="D60" i="78" s="1"/>
  <c r="AB35" i="78"/>
  <c r="AB34" i="78"/>
  <c r="E60" i="78"/>
  <c r="CH21" i="78"/>
  <c r="CH22" i="78"/>
  <c r="Q24" i="78"/>
  <c r="CG25" i="78" s="1"/>
  <c r="C40" i="78"/>
  <c r="AZ37" i="78"/>
  <c r="BO10" i="78"/>
  <c r="BQ15" i="78"/>
  <c r="CI29" i="78"/>
  <c r="U31" i="78"/>
  <c r="CJ18" i="78"/>
  <c r="CK18" i="78" s="1"/>
  <c r="AJ34" i="78"/>
  <c r="CL12" i="78"/>
  <c r="CO12" i="78" s="1"/>
  <c r="CP12" i="78" s="1"/>
  <c r="AE14" i="78"/>
  <c r="AD14" i="78"/>
  <c r="AE22" i="78"/>
  <c r="AD22" i="78"/>
  <c r="AA36" i="78"/>
  <c r="D59" i="78" s="1"/>
  <c r="AA35" i="78"/>
  <c r="AA34" i="78"/>
  <c r="E59" i="78"/>
  <c r="CM29" i="78"/>
  <c r="AD13" i="78"/>
  <c r="CM15" i="78"/>
  <c r="CH16" i="78"/>
  <c r="BO16" i="78"/>
  <c r="U30" i="78"/>
  <c r="CG30" i="78"/>
  <c r="R10" i="78"/>
  <c r="S10" i="78"/>
  <c r="BN12" i="78"/>
  <c r="V36" i="78"/>
  <c r="D65" i="78" s="1"/>
  <c r="V35" i="78"/>
  <c r="C65" i="78" s="1"/>
  <c r="V34" i="78"/>
  <c r="E65" i="78" s="1"/>
  <c r="AL34" i="78"/>
  <c r="BN11" i="78"/>
  <c r="CG13" i="78"/>
  <c r="BQ16" i="78"/>
  <c r="BN16" i="78"/>
  <c r="AE17" i="78"/>
  <c r="AD17" i="78"/>
  <c r="AE19" i="78"/>
  <c r="AD19" i="78"/>
  <c r="Q22" i="78"/>
  <c r="CH23" i="78"/>
  <c r="Q27" i="78"/>
  <c r="BI29" i="78"/>
  <c r="E63" i="78"/>
  <c r="E64" i="78"/>
  <c r="AK34" i="78"/>
  <c r="BF34" i="78"/>
  <c r="CL10" i="78"/>
  <c r="CO10" i="78" s="1"/>
  <c r="CP10" i="78" s="1"/>
  <c r="Q14" i="78"/>
  <c r="BO14" i="78"/>
  <c r="U16" i="78"/>
  <c r="U26" i="78"/>
  <c r="CG26" i="78"/>
  <c r="CJ26" i="78" s="1"/>
  <c r="CG28" i="78"/>
  <c r="CM28" i="78"/>
  <c r="AE29" i="78"/>
  <c r="AD29" i="78"/>
  <c r="CI30" i="78"/>
  <c r="BI33" i="78"/>
  <c r="F62" i="78"/>
  <c r="E62" i="78"/>
  <c r="AF36" i="78"/>
  <c r="U25" i="78"/>
  <c r="AD12" i="78"/>
  <c r="AE31" i="78"/>
  <c r="AD31" i="78"/>
  <c r="X36" i="78"/>
  <c r="X35" i="78"/>
  <c r="X34" i="78"/>
  <c r="BQ10" i="78"/>
  <c r="Y36" i="78"/>
  <c r="Y35" i="78"/>
  <c r="Y34" i="78"/>
  <c r="AP34" i="78"/>
  <c r="CI16" i="78"/>
  <c r="Q20" i="78"/>
  <c r="CG21" i="78" s="1"/>
  <c r="CI21" i="78"/>
  <c r="AE24" i="78"/>
  <c r="CI26" i="78"/>
  <c r="CH27" i="78"/>
  <c r="CM30" i="78"/>
  <c r="CH28" i="78"/>
  <c r="U28" i="78"/>
  <c r="W36" i="78"/>
  <c r="D66" i="78" s="1"/>
  <c r="W35" i="78"/>
  <c r="C66" i="78" s="1"/>
  <c r="W34" i="78"/>
  <c r="E66" i="78" s="1"/>
  <c r="H36" i="78"/>
  <c r="H35" i="78"/>
  <c r="H34" i="78"/>
  <c r="Z36" i="78"/>
  <c r="Z35" i="78"/>
  <c r="Z34" i="78"/>
  <c r="AQ34" i="78"/>
  <c r="C48" i="78" s="1"/>
  <c r="Q19" i="78"/>
  <c r="R23" i="78"/>
  <c r="U23" i="78" s="1"/>
  <c r="AD24" i="78"/>
  <c r="CM24" i="78"/>
  <c r="BI15" i="78"/>
  <c r="AD20" i="78"/>
  <c r="CL16" i="78"/>
  <c r="CO16" i="78" s="1"/>
  <c r="CP16" i="78" s="1"/>
  <c r="AD26" i="78"/>
  <c r="AD33" i="78"/>
  <c r="CM22" i="78"/>
  <c r="C47" i="78" l="1"/>
  <c r="AD9" i="7"/>
  <c r="CA15" i="78"/>
  <c r="CD15" i="78"/>
  <c r="CE15" i="78"/>
  <c r="CC15" i="78"/>
  <c r="BY10" i="78"/>
  <c r="U10" i="78"/>
  <c r="CJ13" i="78"/>
  <c r="CK13" i="78" s="1"/>
  <c r="CJ25" i="78"/>
  <c r="CK25" i="78" s="1"/>
  <c r="BP12" i="78"/>
  <c r="C42" i="78"/>
  <c r="F9" i="7"/>
  <c r="R9" i="7" s="1"/>
  <c r="C44" i="78"/>
  <c r="C43" i="78"/>
  <c r="G9" i="7"/>
  <c r="S9" i="7" s="1"/>
  <c r="C41" i="78"/>
  <c r="AS16" i="78"/>
  <c r="AR16" i="78"/>
  <c r="BL16" i="78"/>
  <c r="AN17" i="78"/>
  <c r="D34" i="78"/>
  <c r="BI17" i="78"/>
  <c r="BJ17" i="78" s="1"/>
  <c r="BI27" i="78"/>
  <c r="AE34" i="78"/>
  <c r="Q36" i="78"/>
  <c r="BI12" i="78"/>
  <c r="BJ12" i="78" s="1"/>
  <c r="BP14" i="78"/>
  <c r="BJ19" i="78"/>
  <c r="BI30" i="78"/>
  <c r="BI22" i="78"/>
  <c r="BJ22" i="78" s="1"/>
  <c r="AE35" i="78"/>
  <c r="AE36" i="78"/>
  <c r="CJ12" i="78"/>
  <c r="CK12" i="78" s="1"/>
  <c r="CJ21" i="78"/>
  <c r="CK21" i="78" s="1"/>
  <c r="CH30" i="78"/>
  <c r="CJ30" i="78" s="1"/>
  <c r="CK30" i="78" s="1"/>
  <c r="U29" i="78"/>
  <c r="CJ29" i="78"/>
  <c r="CK29" i="78" s="1"/>
  <c r="BJ14" i="78"/>
  <c r="BJ27" i="78"/>
  <c r="BJ29" i="78"/>
  <c r="D64" i="78"/>
  <c r="BI21" i="78"/>
  <c r="S36" i="78"/>
  <c r="S35" i="78"/>
  <c r="S34" i="78"/>
  <c r="CI10" i="78"/>
  <c r="CG24" i="78"/>
  <c r="CJ24" i="78" s="1"/>
  <c r="CK24" i="78" s="1"/>
  <c r="U24" i="78"/>
  <c r="AD35" i="78"/>
  <c r="AD34" i="78"/>
  <c r="AD36" i="78"/>
  <c r="BI28" i="78"/>
  <c r="CI11" i="78"/>
  <c r="BI25" i="78"/>
  <c r="D36" i="78"/>
  <c r="D35" i="78"/>
  <c r="CG27" i="78"/>
  <c r="CJ27" i="78" s="1"/>
  <c r="CK27" i="78" s="1"/>
  <c r="U27" i="78"/>
  <c r="BI11" i="78"/>
  <c r="BP11" i="78"/>
  <c r="BI32" i="78"/>
  <c r="L35" i="78"/>
  <c r="L34" i="78"/>
  <c r="L36" i="78"/>
  <c r="CG15" i="78"/>
  <c r="CJ15" i="78" s="1"/>
  <c r="CK15" i="78" s="1"/>
  <c r="U15" i="78"/>
  <c r="CG16" i="78"/>
  <c r="CJ16" i="78" s="1"/>
  <c r="CK16" i="78" s="1"/>
  <c r="E36" i="78"/>
  <c r="D57" i="78" s="1"/>
  <c r="E35" i="78"/>
  <c r="C57" i="78" s="1"/>
  <c r="E34" i="78"/>
  <c r="E57" i="78" s="1"/>
  <c r="BJ15" i="78"/>
  <c r="BG34" i="78"/>
  <c r="D62" i="78"/>
  <c r="R35" i="78"/>
  <c r="R34" i="78"/>
  <c r="R36" i="78"/>
  <c r="BP13" i="78"/>
  <c r="BI13" i="78"/>
  <c r="F36" i="78"/>
  <c r="D56" i="78" s="1"/>
  <c r="F35" i="78"/>
  <c r="F34" i="78"/>
  <c r="E56" i="78" s="1"/>
  <c r="BL13" i="78"/>
  <c r="CL13" i="78"/>
  <c r="CO13" i="78" s="1"/>
  <c r="CP13" i="78" s="1"/>
  <c r="CL14" i="78"/>
  <c r="CO14" i="78" s="1"/>
  <c r="CP14" i="78" s="1"/>
  <c r="T36" i="78"/>
  <c r="T35" i="78"/>
  <c r="T34" i="78"/>
  <c r="CH10" i="78"/>
  <c r="CJ10" i="78" s="1"/>
  <c r="BL14" i="78"/>
  <c r="BL11" i="78"/>
  <c r="CL11" i="78"/>
  <c r="CO11" i="78" s="1"/>
  <c r="CP11" i="78" s="1"/>
  <c r="BI23" i="78"/>
  <c r="CG19" i="78"/>
  <c r="CJ19" i="78" s="1"/>
  <c r="CK19" i="78" s="1"/>
  <c r="U19" i="78"/>
  <c r="C62" i="78"/>
  <c r="Q34" i="78"/>
  <c r="U14" i="78"/>
  <c r="CG14" i="78"/>
  <c r="CJ14" i="78" s="1"/>
  <c r="CK14" i="78" s="1"/>
  <c r="BI16" i="78"/>
  <c r="BP16" i="78"/>
  <c r="Q35" i="78"/>
  <c r="G36" i="78"/>
  <c r="D68" i="78" s="1"/>
  <c r="G35" i="78"/>
  <c r="C68" i="78" s="1"/>
  <c r="G34" i="78"/>
  <c r="E68" i="78" s="1"/>
  <c r="BI18" i="78"/>
  <c r="CK26" i="78"/>
  <c r="U20" i="78"/>
  <c r="CG20" i="78"/>
  <c r="CJ20" i="78" s="1"/>
  <c r="CK20" i="78" s="1"/>
  <c r="BJ33" i="78"/>
  <c r="BB34" i="78"/>
  <c r="BI31" i="78"/>
  <c r="CJ28" i="78"/>
  <c r="CK28" i="78" s="1"/>
  <c r="BJ26" i="78"/>
  <c r="CG22" i="78"/>
  <c r="CJ22" i="78" s="1"/>
  <c r="CK22" i="78" s="1"/>
  <c r="U22" i="78"/>
  <c r="CG23" i="78"/>
  <c r="CJ23" i="78" s="1"/>
  <c r="CK23" i="78" s="1"/>
  <c r="BD34" i="78"/>
  <c r="BP10" i="78"/>
  <c r="CH11" i="78"/>
  <c r="CJ11" i="78" s="1"/>
  <c r="BC34" i="78"/>
  <c r="BI20" i="78"/>
  <c r="BL15" i="78"/>
  <c r="CL15" i="78"/>
  <c r="CO15" i="78" s="1"/>
  <c r="CP15" i="78" s="1"/>
  <c r="AG9" i="7" l="1"/>
  <c r="AF9" i="7"/>
  <c r="AH9" i="7" s="1"/>
  <c r="U9" i="7"/>
  <c r="CL17" i="78"/>
  <c r="CO17" i="78" s="1"/>
  <c r="CP17" i="78" s="1"/>
  <c r="CE16" i="78"/>
  <c r="CC16" i="78"/>
  <c r="CD16" i="78"/>
  <c r="CA16" i="78"/>
  <c r="CK11" i="78"/>
  <c r="CC10" i="78"/>
  <c r="CE10" i="78"/>
  <c r="C45" i="78"/>
  <c r="I9" i="7"/>
  <c r="AN18" i="78"/>
  <c r="AR17" i="78"/>
  <c r="AS17" i="78"/>
  <c r="U36" i="78"/>
  <c r="BJ30" i="78"/>
  <c r="U34" i="78"/>
  <c r="U35" i="78"/>
  <c r="BJ32" i="78"/>
  <c r="BJ25" i="78"/>
  <c r="BJ18" i="78"/>
  <c r="BJ31" i="78"/>
  <c r="BJ13" i="78"/>
  <c r="BJ16" i="78"/>
  <c r="BJ28" i="78"/>
  <c r="BJ23" i="78"/>
  <c r="BJ11" i="78"/>
  <c r="BI34" i="78"/>
  <c r="BJ34" i="78" s="1"/>
  <c r="BE34" i="78"/>
  <c r="CK10" i="78"/>
  <c r="BJ21" i="78"/>
  <c r="BJ20" i="78"/>
  <c r="BN10" i="78"/>
  <c r="AI9" i="7" l="1"/>
  <c r="CC17" i="78"/>
  <c r="CE17" i="78"/>
  <c r="CA17" i="78"/>
  <c r="CD17" i="78"/>
  <c r="AN19" i="78"/>
  <c r="AR18" i="78"/>
  <c r="AS18" i="78"/>
  <c r="CL18" i="78"/>
  <c r="CO18" i="78" s="1"/>
  <c r="CP18" i="78" s="1"/>
  <c r="CC18" i="78" l="1"/>
  <c r="CE18" i="78"/>
  <c r="CD18" i="78"/>
  <c r="CA18" i="78"/>
  <c r="AS19" i="78"/>
  <c r="AR19" i="78"/>
  <c r="CL19" i="78"/>
  <c r="CO19" i="78" s="1"/>
  <c r="CP19" i="78" s="1"/>
  <c r="AN20" i="78"/>
  <c r="CD19" i="78" l="1"/>
  <c r="CA19" i="78"/>
  <c r="CC19" i="78"/>
  <c r="CE19" i="78"/>
  <c r="AN21" i="78"/>
  <c r="AR20" i="78"/>
  <c r="AS20" i="78"/>
  <c r="CL20" i="78"/>
  <c r="CO20" i="78" s="1"/>
  <c r="CP20" i="78" s="1"/>
  <c r="BH13" i="55"/>
  <c r="D2" i="74"/>
  <c r="CD64" i="40"/>
  <c r="CB64" i="40"/>
  <c r="CD63" i="40"/>
  <c r="CB63" i="40"/>
  <c r="CD62" i="40"/>
  <c r="CB62" i="40"/>
  <c r="CD61" i="40"/>
  <c r="CB61" i="40"/>
  <c r="CD60" i="40"/>
  <c r="CB60" i="40"/>
  <c r="CD59" i="40"/>
  <c r="CB59" i="40"/>
  <c r="CD58" i="40"/>
  <c r="CB58" i="40"/>
  <c r="CD57" i="40"/>
  <c r="CB57" i="40"/>
  <c r="CD56" i="40"/>
  <c r="CB56" i="40"/>
  <c r="CD55" i="40"/>
  <c r="CB55" i="40"/>
  <c r="CD54" i="40"/>
  <c r="CB54" i="40"/>
  <c r="CD53" i="40"/>
  <c r="CB53" i="40"/>
  <c r="CD52" i="40"/>
  <c r="CB52" i="40"/>
  <c r="CD51" i="40"/>
  <c r="CB51" i="40"/>
  <c r="CD50" i="40"/>
  <c r="CB50" i="40"/>
  <c r="CD49" i="40"/>
  <c r="CB49" i="40"/>
  <c r="CD48" i="40"/>
  <c r="CB48" i="40"/>
  <c r="CD47" i="40"/>
  <c r="CB47" i="40"/>
  <c r="CD46" i="40"/>
  <c r="CB46" i="40"/>
  <c r="CD45" i="40"/>
  <c r="CB45" i="40"/>
  <c r="CD44" i="40"/>
  <c r="CB44" i="40"/>
  <c r="CD43" i="40"/>
  <c r="CB43" i="40"/>
  <c r="CD42" i="40"/>
  <c r="CB42" i="40"/>
  <c r="CA20" i="78" l="1"/>
  <c r="CD20" i="78"/>
  <c r="CC20" i="78"/>
  <c r="CE20" i="78"/>
  <c r="AN22" i="78"/>
  <c r="AR21" i="78"/>
  <c r="AS21" i="78"/>
  <c r="CL21" i="78"/>
  <c r="CO21" i="78" s="1"/>
  <c r="CP21" i="78" s="1"/>
  <c r="BY86" i="55"/>
  <c r="BY85" i="55"/>
  <c r="BY84" i="55"/>
  <c r="BY83" i="55"/>
  <c r="BY82" i="55"/>
  <c r="BY81" i="55"/>
  <c r="BY80" i="55"/>
  <c r="BY79" i="55"/>
  <c r="BY78" i="55"/>
  <c r="BY77" i="55"/>
  <c r="BY76" i="55"/>
  <c r="BY75" i="55"/>
  <c r="BY74" i="55"/>
  <c r="BY73" i="55"/>
  <c r="BY72" i="55"/>
  <c r="BY71" i="55"/>
  <c r="BY70" i="55"/>
  <c r="BY69" i="55"/>
  <c r="BY68" i="55"/>
  <c r="BY67" i="55"/>
  <c r="BY66" i="55"/>
  <c r="BY65" i="55"/>
  <c r="BY64" i="55"/>
  <c r="BY63" i="55"/>
  <c r="BY62" i="55"/>
  <c r="BY61" i="55"/>
  <c r="BY60" i="55"/>
  <c r="BY59" i="55"/>
  <c r="BY58" i="55"/>
  <c r="BY57" i="55"/>
  <c r="BY56" i="55"/>
  <c r="BY55" i="55"/>
  <c r="BY54" i="55"/>
  <c r="BY53" i="55"/>
  <c r="BY52" i="55"/>
  <c r="BY51" i="55"/>
  <c r="BY50" i="55"/>
  <c r="BY49" i="55"/>
  <c r="BY48" i="55"/>
  <c r="BY47" i="55"/>
  <c r="BY46" i="55"/>
  <c r="BY45" i="55"/>
  <c r="BY44" i="55"/>
  <c r="BY43" i="55"/>
  <c r="BY42" i="55"/>
  <c r="BY41" i="55"/>
  <c r="BY40" i="55"/>
  <c r="BY39" i="55"/>
  <c r="BY38" i="55"/>
  <c r="BY37" i="55"/>
  <c r="BX86" i="55"/>
  <c r="BX85" i="55"/>
  <c r="BX84" i="55"/>
  <c r="BX83" i="55"/>
  <c r="BX82" i="55"/>
  <c r="BX81" i="55"/>
  <c r="BX80" i="55"/>
  <c r="BX79" i="55"/>
  <c r="BX78" i="55"/>
  <c r="BX77" i="55"/>
  <c r="BX76" i="55"/>
  <c r="BX75" i="55"/>
  <c r="BX74" i="55"/>
  <c r="BX73" i="55"/>
  <c r="BX72" i="55"/>
  <c r="BX71" i="55"/>
  <c r="BX70" i="55"/>
  <c r="BX69" i="55"/>
  <c r="BX68" i="55"/>
  <c r="BX67" i="55"/>
  <c r="BX66" i="55"/>
  <c r="BX65" i="55"/>
  <c r="BX64" i="55"/>
  <c r="BX63" i="55"/>
  <c r="BX62" i="55"/>
  <c r="BX61" i="55"/>
  <c r="BX60" i="55"/>
  <c r="BX59" i="55"/>
  <c r="BX58" i="55"/>
  <c r="BX57" i="55"/>
  <c r="BX56" i="55"/>
  <c r="BX55" i="55"/>
  <c r="BX54" i="55"/>
  <c r="BX53" i="55"/>
  <c r="BX52" i="55"/>
  <c r="BX51" i="55"/>
  <c r="BX50" i="55"/>
  <c r="BX49" i="55"/>
  <c r="BX48" i="55"/>
  <c r="BX47" i="55"/>
  <c r="BX46" i="55"/>
  <c r="BX45" i="55"/>
  <c r="BX44" i="55"/>
  <c r="BX43" i="55"/>
  <c r="BX42" i="55"/>
  <c r="BX41" i="55"/>
  <c r="BX40" i="55"/>
  <c r="BX39" i="55"/>
  <c r="BX38" i="55"/>
  <c r="BX37" i="55"/>
  <c r="BX36" i="55"/>
  <c r="BX35" i="55"/>
  <c r="BU86" i="55"/>
  <c r="BU85" i="55"/>
  <c r="BU84" i="55"/>
  <c r="BU83" i="55"/>
  <c r="BU82" i="55"/>
  <c r="BU81" i="55"/>
  <c r="BU80" i="55"/>
  <c r="BU79" i="55"/>
  <c r="BU78" i="55"/>
  <c r="BU77" i="55"/>
  <c r="BU76" i="55"/>
  <c r="BU75" i="55"/>
  <c r="BU74" i="55"/>
  <c r="BU73" i="55"/>
  <c r="BU72" i="55"/>
  <c r="BU71" i="55"/>
  <c r="BU70" i="55"/>
  <c r="BU69" i="55"/>
  <c r="BU68" i="55"/>
  <c r="BU67" i="55"/>
  <c r="BU66" i="55"/>
  <c r="BU65" i="55"/>
  <c r="BU64" i="55"/>
  <c r="BU63" i="55"/>
  <c r="BU62" i="55"/>
  <c r="BU61" i="55"/>
  <c r="BU60" i="55"/>
  <c r="BU59" i="55"/>
  <c r="BU58" i="55"/>
  <c r="BU57" i="55"/>
  <c r="BU56" i="55"/>
  <c r="BU55" i="55"/>
  <c r="BU54" i="55"/>
  <c r="BU53" i="55"/>
  <c r="BU52" i="55"/>
  <c r="BU51" i="55"/>
  <c r="BU50" i="55"/>
  <c r="BU49" i="55"/>
  <c r="BU48" i="55"/>
  <c r="BU47" i="55"/>
  <c r="BU46" i="55"/>
  <c r="BU45" i="55"/>
  <c r="BU44" i="55"/>
  <c r="BU43" i="55"/>
  <c r="BU42" i="55"/>
  <c r="BU41" i="55"/>
  <c r="BU40" i="55"/>
  <c r="BU39" i="55"/>
  <c r="BU38" i="55"/>
  <c r="BU37" i="55"/>
  <c r="BT86" i="55"/>
  <c r="BT85" i="55"/>
  <c r="BT84" i="55"/>
  <c r="BT83" i="55"/>
  <c r="BT82" i="55"/>
  <c r="BT81" i="55"/>
  <c r="BT80" i="55"/>
  <c r="BT79" i="55"/>
  <c r="BT78" i="55"/>
  <c r="BT77" i="55"/>
  <c r="BT76" i="55"/>
  <c r="BT75" i="55"/>
  <c r="BT74" i="55"/>
  <c r="BT73" i="55"/>
  <c r="BT72" i="55"/>
  <c r="BT71" i="55"/>
  <c r="BT70" i="55"/>
  <c r="BT69" i="55"/>
  <c r="BT68" i="55"/>
  <c r="BT67" i="55"/>
  <c r="BT66" i="55"/>
  <c r="BT65" i="55"/>
  <c r="BT64" i="55"/>
  <c r="BT63" i="55"/>
  <c r="BT62" i="55"/>
  <c r="BT61" i="55"/>
  <c r="BT60" i="55"/>
  <c r="BT59" i="55"/>
  <c r="BT58" i="55"/>
  <c r="BT57" i="55"/>
  <c r="BT56" i="55"/>
  <c r="BT55" i="55"/>
  <c r="BT54" i="55"/>
  <c r="BT53" i="55"/>
  <c r="BT52" i="55"/>
  <c r="BT51" i="55"/>
  <c r="BT50" i="55"/>
  <c r="BT49" i="55"/>
  <c r="BT48" i="55"/>
  <c r="BT47" i="55"/>
  <c r="BT46" i="55"/>
  <c r="BT45" i="55"/>
  <c r="BT44" i="55"/>
  <c r="BT43" i="55"/>
  <c r="BT42" i="55"/>
  <c r="BT41" i="55"/>
  <c r="BT40" i="55"/>
  <c r="BT39" i="55"/>
  <c r="BT38" i="55"/>
  <c r="BT37" i="55"/>
  <c r="BT36" i="55"/>
  <c r="BT35" i="55"/>
  <c r="AP10" i="40"/>
  <c r="AP11" i="40"/>
  <c r="AP12" i="40"/>
  <c r="AP13" i="40"/>
  <c r="AP14" i="40"/>
  <c r="AP15" i="40"/>
  <c r="AP16" i="40"/>
  <c r="AP17" i="40"/>
  <c r="AP18" i="40"/>
  <c r="AP19" i="40"/>
  <c r="AP20" i="40"/>
  <c r="AP21" i="40"/>
  <c r="AP22" i="40"/>
  <c r="AP23" i="40"/>
  <c r="AP24" i="40"/>
  <c r="AP25" i="40"/>
  <c r="AP26" i="40"/>
  <c r="AP27" i="40"/>
  <c r="AP28" i="40"/>
  <c r="AP29" i="40"/>
  <c r="AP30" i="40"/>
  <c r="AP31" i="40"/>
  <c r="AP32" i="40"/>
  <c r="AP33" i="40"/>
  <c r="CC10" i="55"/>
  <c r="CA21" i="78" l="1"/>
  <c r="CD21" i="78"/>
  <c r="CC21" i="78"/>
  <c r="CE21" i="78"/>
  <c r="CL22" i="78"/>
  <c r="CO22" i="78" s="1"/>
  <c r="CP22" i="78" s="1"/>
  <c r="AS22" i="78"/>
  <c r="AR22" i="78"/>
  <c r="AN23" i="78"/>
  <c r="AE8" i="7"/>
  <c r="AD8" i="7"/>
  <c r="AC8" i="7"/>
  <c r="AA8" i="7"/>
  <c r="Z8" i="7"/>
  <c r="K8" i="7"/>
  <c r="W8" i="7" s="1"/>
  <c r="AQ8" i="7" s="1"/>
  <c r="L8" i="7"/>
  <c r="X8" i="7" s="1"/>
  <c r="AR8" i="7" s="1"/>
  <c r="J8" i="7"/>
  <c r="V8" i="7" s="1"/>
  <c r="AP8" i="7" s="1"/>
  <c r="H8" i="7"/>
  <c r="T8" i="7" s="1"/>
  <c r="G8" i="7"/>
  <c r="S8" i="7" s="1"/>
  <c r="E8" i="7"/>
  <c r="Q8" i="7" s="1"/>
  <c r="D8" i="7"/>
  <c r="D9" i="7"/>
  <c r="F8" i="7"/>
  <c r="R8" i="7" s="1"/>
  <c r="AJ31" i="55"/>
  <c r="AK31" i="55"/>
  <c r="AL31" i="55"/>
  <c r="AP31" i="55"/>
  <c r="AQ31" i="55"/>
  <c r="AY31" i="55"/>
  <c r="AZ31" i="55"/>
  <c r="BC31" i="55" s="1"/>
  <c r="BD31" i="55" s="1"/>
  <c r="BB31" i="55"/>
  <c r="BF31" i="55"/>
  <c r="BG31" i="55" s="1"/>
  <c r="K2" i="75"/>
  <c r="AE7" i="7" s="1"/>
  <c r="J2" i="75"/>
  <c r="D7" i="7"/>
  <c r="BF33" i="55"/>
  <c r="BG33" i="55" s="1"/>
  <c r="AX34" i="55"/>
  <c r="P79" i="55"/>
  <c r="AQ11" i="55"/>
  <c r="AQ12" i="55"/>
  <c r="AQ13" i="55"/>
  <c r="AQ14" i="55"/>
  <c r="AQ15" i="55"/>
  <c r="AQ16" i="55"/>
  <c r="AQ17" i="55"/>
  <c r="AQ18" i="55"/>
  <c r="AQ19" i="55"/>
  <c r="AQ20" i="55"/>
  <c r="AQ21" i="55"/>
  <c r="AQ22" i="55"/>
  <c r="AQ23" i="55"/>
  <c r="AQ24" i="55"/>
  <c r="AQ25" i="55"/>
  <c r="AQ26" i="55"/>
  <c r="AQ27" i="55"/>
  <c r="AQ28" i="55"/>
  <c r="AQ29" i="55"/>
  <c r="AQ30" i="55"/>
  <c r="AQ32" i="55"/>
  <c r="AQ33" i="55"/>
  <c r="AQ10" i="55"/>
  <c r="AP11" i="55"/>
  <c r="AP12" i="55"/>
  <c r="AP13" i="55"/>
  <c r="AP14" i="55"/>
  <c r="AP15" i="55"/>
  <c r="AP16" i="55"/>
  <c r="AP17" i="55"/>
  <c r="AP18" i="55"/>
  <c r="AP19" i="55"/>
  <c r="AP20" i="55"/>
  <c r="AP21" i="55"/>
  <c r="AP22" i="55"/>
  <c r="AP23" i="55"/>
  <c r="AP24" i="55"/>
  <c r="AP25" i="55"/>
  <c r="AP26" i="55"/>
  <c r="AP27" i="55"/>
  <c r="AP28" i="55"/>
  <c r="AP29" i="55"/>
  <c r="AP30" i="55"/>
  <c r="AP32" i="55"/>
  <c r="AP33" i="55"/>
  <c r="AP10" i="55"/>
  <c r="AL11" i="55"/>
  <c r="AL12" i="55"/>
  <c r="AL13" i="55"/>
  <c r="AL14" i="55"/>
  <c r="AL15" i="55"/>
  <c r="AL16" i="55"/>
  <c r="AL17" i="55"/>
  <c r="AL18" i="55"/>
  <c r="AL19" i="55"/>
  <c r="AL20" i="55"/>
  <c r="AL21" i="55"/>
  <c r="AL22" i="55"/>
  <c r="AL23" i="55"/>
  <c r="AL24" i="55"/>
  <c r="AL25" i="55"/>
  <c r="AL26" i="55"/>
  <c r="AL27" i="55"/>
  <c r="AL28" i="55"/>
  <c r="AL29" i="55"/>
  <c r="AL30" i="55"/>
  <c r="AL32" i="55"/>
  <c r="AL33" i="55"/>
  <c r="AL10" i="55"/>
  <c r="AK11" i="55"/>
  <c r="AK12" i="55"/>
  <c r="AK13" i="55"/>
  <c r="AK14" i="55"/>
  <c r="AK15" i="55"/>
  <c r="AK16" i="55"/>
  <c r="AK17" i="55"/>
  <c r="AK18" i="55"/>
  <c r="AK19" i="55"/>
  <c r="AK20" i="55"/>
  <c r="AK21" i="55"/>
  <c r="AK22" i="55"/>
  <c r="AK23" i="55"/>
  <c r="AK24" i="55"/>
  <c r="AK25" i="55"/>
  <c r="AK26" i="55"/>
  <c r="AK27" i="55"/>
  <c r="AK28" i="55"/>
  <c r="AK29" i="55"/>
  <c r="AK30" i="55"/>
  <c r="AK32" i="55"/>
  <c r="AK33" i="55"/>
  <c r="AK10" i="55"/>
  <c r="AJ11" i="55"/>
  <c r="AJ12" i="55"/>
  <c r="AJ13" i="55"/>
  <c r="AJ14" i="55"/>
  <c r="AJ15" i="55"/>
  <c r="AJ16" i="55"/>
  <c r="AJ17" i="55"/>
  <c r="AJ18" i="55"/>
  <c r="AJ19" i="55"/>
  <c r="AJ20" i="55"/>
  <c r="AJ21" i="55"/>
  <c r="AJ22" i="55"/>
  <c r="AJ23" i="55"/>
  <c r="AJ24" i="55"/>
  <c r="AJ25" i="55"/>
  <c r="AJ26" i="55"/>
  <c r="AJ27" i="55"/>
  <c r="AJ28" i="55"/>
  <c r="AJ29" i="55"/>
  <c r="AJ30" i="55"/>
  <c r="AJ32" i="55"/>
  <c r="AJ33" i="55"/>
  <c r="AJ10" i="55"/>
  <c r="AH12" i="55"/>
  <c r="AH13" i="55"/>
  <c r="AH14" i="55"/>
  <c r="AH15" i="55"/>
  <c r="AH16" i="55"/>
  <c r="AH17" i="55"/>
  <c r="AH18" i="55"/>
  <c r="AH19" i="55"/>
  <c r="AH20" i="55"/>
  <c r="AH21" i="55"/>
  <c r="AH22" i="55"/>
  <c r="AH23" i="55"/>
  <c r="AH24" i="55"/>
  <c r="AH25" i="55"/>
  <c r="AH26" i="55"/>
  <c r="AH27" i="55"/>
  <c r="AH28" i="55"/>
  <c r="AH29" i="55"/>
  <c r="AH30" i="55"/>
  <c r="AH31" i="55"/>
  <c r="AH32" i="55"/>
  <c r="AH33" i="55"/>
  <c r="AH11" i="55"/>
  <c r="AH10" i="55"/>
  <c r="AC53" i="72"/>
  <c r="AC31" i="72"/>
  <c r="AC32" i="72"/>
  <c r="AC33" i="72"/>
  <c r="AC34" i="72"/>
  <c r="AC35" i="72"/>
  <c r="AC36" i="72"/>
  <c r="AC37" i="72"/>
  <c r="AC38" i="72"/>
  <c r="AC39" i="72"/>
  <c r="AC40" i="72"/>
  <c r="AC41" i="72"/>
  <c r="AC42" i="72"/>
  <c r="AC43" i="72"/>
  <c r="AC44" i="72"/>
  <c r="AC45" i="72"/>
  <c r="AC46" i="72"/>
  <c r="AC47" i="72"/>
  <c r="AC48" i="72"/>
  <c r="AC49" i="72"/>
  <c r="AC50" i="72"/>
  <c r="AC51" i="72"/>
  <c r="AC52" i="72"/>
  <c r="AC30" i="72"/>
  <c r="AF11" i="55"/>
  <c r="AF12" i="55"/>
  <c r="AF13" i="55"/>
  <c r="AF14" i="55"/>
  <c r="AF15" i="55"/>
  <c r="AF16" i="55"/>
  <c r="AF17" i="55"/>
  <c r="AF18" i="55"/>
  <c r="AF19" i="55"/>
  <c r="AF20" i="55"/>
  <c r="AF21" i="55"/>
  <c r="AF22" i="55"/>
  <c r="AF23" i="55"/>
  <c r="AF24" i="55"/>
  <c r="AF25" i="55"/>
  <c r="AF26" i="55"/>
  <c r="AF27" i="55"/>
  <c r="AF28" i="55"/>
  <c r="AF29" i="55"/>
  <c r="AF30" i="55"/>
  <c r="AF31" i="55"/>
  <c r="AF32" i="55"/>
  <c r="AF33" i="55"/>
  <c r="AF10" i="55"/>
  <c r="AC11" i="55"/>
  <c r="AC12" i="55"/>
  <c r="AC13" i="55"/>
  <c r="AC14" i="55"/>
  <c r="AC15" i="55"/>
  <c r="AC16" i="55"/>
  <c r="AC17" i="55"/>
  <c r="AC18" i="55"/>
  <c r="AC19" i="55"/>
  <c r="AC20" i="55"/>
  <c r="AC21" i="55"/>
  <c r="AC22" i="55"/>
  <c r="AC23" i="55"/>
  <c r="AC24" i="55"/>
  <c r="AC25" i="55"/>
  <c r="AC26" i="55"/>
  <c r="AC27" i="55"/>
  <c r="AC28" i="55"/>
  <c r="AC29" i="55"/>
  <c r="AC30" i="55"/>
  <c r="AC31" i="55"/>
  <c r="AC32" i="55"/>
  <c r="AC33" i="55"/>
  <c r="AC10" i="55"/>
  <c r="AB11" i="55"/>
  <c r="AB12" i="55"/>
  <c r="AB13" i="55"/>
  <c r="AB14" i="55"/>
  <c r="AB15" i="55"/>
  <c r="AB16" i="55"/>
  <c r="AB17" i="55"/>
  <c r="AB18" i="55"/>
  <c r="AB19" i="55"/>
  <c r="AB20" i="55"/>
  <c r="AB21" i="55"/>
  <c r="AB22" i="55"/>
  <c r="AB23" i="55"/>
  <c r="AB24" i="55"/>
  <c r="AB25" i="55"/>
  <c r="AB26" i="55"/>
  <c r="AB27" i="55"/>
  <c r="AB28" i="55"/>
  <c r="AB29" i="55"/>
  <c r="AB30" i="55"/>
  <c r="AB31" i="55"/>
  <c r="AB32" i="55"/>
  <c r="AB33" i="55"/>
  <c r="AB10" i="55"/>
  <c r="AA11" i="55"/>
  <c r="AA12" i="55"/>
  <c r="AA13" i="55"/>
  <c r="AA14" i="55"/>
  <c r="AA15" i="55"/>
  <c r="AA16" i="55"/>
  <c r="AA17" i="55"/>
  <c r="AD17" i="55" s="1"/>
  <c r="AA18" i="55"/>
  <c r="AA19" i="55"/>
  <c r="AA20" i="55"/>
  <c r="AA21" i="55"/>
  <c r="AA22" i="55"/>
  <c r="AA23" i="55"/>
  <c r="AA24" i="55"/>
  <c r="AA25" i="55"/>
  <c r="AA26" i="55"/>
  <c r="AA27" i="55"/>
  <c r="AA28" i="55"/>
  <c r="AA29" i="55"/>
  <c r="AA30" i="55"/>
  <c r="AA31" i="55"/>
  <c r="AA32" i="55"/>
  <c r="AA33" i="55"/>
  <c r="AA10" i="55"/>
  <c r="Z11" i="55"/>
  <c r="Z12" i="55"/>
  <c r="Z13" i="55"/>
  <c r="Z14" i="55"/>
  <c r="Z15" i="55"/>
  <c r="Z16" i="55"/>
  <c r="Z17" i="55"/>
  <c r="Z18" i="55"/>
  <c r="Z19" i="55"/>
  <c r="Z20" i="55"/>
  <c r="Z21" i="55"/>
  <c r="Z22" i="55"/>
  <c r="Z23" i="55"/>
  <c r="Z24" i="55"/>
  <c r="Z25" i="55"/>
  <c r="Z26" i="55"/>
  <c r="Z27" i="55"/>
  <c r="Z28" i="55"/>
  <c r="Z29" i="55"/>
  <c r="Z30" i="55"/>
  <c r="Z31" i="55"/>
  <c r="Z32" i="55"/>
  <c r="Z33" i="55"/>
  <c r="Z10" i="55"/>
  <c r="Y11" i="55"/>
  <c r="Y12" i="55"/>
  <c r="Y13" i="55"/>
  <c r="Y14" i="55"/>
  <c r="Y15" i="55"/>
  <c r="Y16" i="55"/>
  <c r="Y17" i="55"/>
  <c r="Y18" i="55"/>
  <c r="Y19" i="55"/>
  <c r="Y20" i="55"/>
  <c r="Y21" i="55"/>
  <c r="Y22" i="55"/>
  <c r="Y23" i="55"/>
  <c r="Y24" i="55"/>
  <c r="Y25" i="55"/>
  <c r="Y26" i="55"/>
  <c r="Y27" i="55"/>
  <c r="Y28" i="55"/>
  <c r="Y29" i="55"/>
  <c r="Y30" i="55"/>
  <c r="Y31" i="55"/>
  <c r="Y32" i="55"/>
  <c r="Y33" i="55"/>
  <c r="Y10" i="55"/>
  <c r="X11" i="55"/>
  <c r="X12" i="55"/>
  <c r="X13" i="55"/>
  <c r="X14" i="55"/>
  <c r="X15" i="55"/>
  <c r="X16" i="55"/>
  <c r="X17" i="55"/>
  <c r="X18" i="55"/>
  <c r="X19" i="55"/>
  <c r="X20" i="55"/>
  <c r="X21" i="55"/>
  <c r="X22" i="55"/>
  <c r="X23" i="55"/>
  <c r="X24" i="55"/>
  <c r="X25" i="55"/>
  <c r="X26" i="55"/>
  <c r="X27" i="55"/>
  <c r="X28" i="55"/>
  <c r="X29" i="55"/>
  <c r="X30" i="55"/>
  <c r="X31" i="55"/>
  <c r="X32" i="55"/>
  <c r="X33" i="55"/>
  <c r="X10" i="55"/>
  <c r="W11" i="55"/>
  <c r="W12" i="55"/>
  <c r="W13" i="55"/>
  <c r="W14" i="55"/>
  <c r="W15" i="55"/>
  <c r="W16" i="55"/>
  <c r="W17" i="55"/>
  <c r="W18" i="55"/>
  <c r="W19" i="55"/>
  <c r="W20" i="55"/>
  <c r="W21" i="55"/>
  <c r="W22" i="55"/>
  <c r="W23" i="55"/>
  <c r="W24" i="55"/>
  <c r="W25" i="55"/>
  <c r="W26" i="55"/>
  <c r="W27" i="55"/>
  <c r="W28" i="55"/>
  <c r="W29" i="55"/>
  <c r="W30" i="55"/>
  <c r="W31" i="55"/>
  <c r="W32" i="55"/>
  <c r="W33" i="55"/>
  <c r="W10" i="55"/>
  <c r="V11" i="55"/>
  <c r="V12" i="55"/>
  <c r="V13" i="55"/>
  <c r="V14" i="55"/>
  <c r="V15" i="55"/>
  <c r="V16" i="55"/>
  <c r="V17" i="55"/>
  <c r="V18" i="55"/>
  <c r="V19" i="55"/>
  <c r="V20" i="55"/>
  <c r="V21" i="55"/>
  <c r="V22" i="55"/>
  <c r="V23" i="55"/>
  <c r="V24" i="55"/>
  <c r="V25" i="55"/>
  <c r="V26" i="55"/>
  <c r="V27" i="55"/>
  <c r="V28" i="55"/>
  <c r="V29" i="55"/>
  <c r="V30" i="55"/>
  <c r="V31" i="55"/>
  <c r="V32" i="55"/>
  <c r="V33" i="55"/>
  <c r="V10" i="55"/>
  <c r="K11" i="55"/>
  <c r="T11" i="55" s="1"/>
  <c r="K12" i="55"/>
  <c r="T12" i="55" s="1"/>
  <c r="K13" i="55"/>
  <c r="T13" i="55" s="1"/>
  <c r="K14" i="55"/>
  <c r="T14" i="55" s="1"/>
  <c r="K15" i="55"/>
  <c r="T15" i="55" s="1"/>
  <c r="K16" i="55"/>
  <c r="K17" i="55"/>
  <c r="T17" i="55" s="1"/>
  <c r="K18" i="55"/>
  <c r="K19" i="55"/>
  <c r="T19" i="55" s="1"/>
  <c r="K20" i="55"/>
  <c r="T20" i="55" s="1"/>
  <c r="K21" i="55"/>
  <c r="T21" i="55" s="1"/>
  <c r="K22" i="55"/>
  <c r="T22" i="55" s="1"/>
  <c r="K23" i="55"/>
  <c r="T23" i="55" s="1"/>
  <c r="K24" i="55"/>
  <c r="T24" i="55" s="1"/>
  <c r="K25" i="55"/>
  <c r="T25" i="55" s="1"/>
  <c r="K26" i="55"/>
  <c r="T26" i="55" s="1"/>
  <c r="K27" i="55"/>
  <c r="T27" i="55" s="1"/>
  <c r="K28" i="55"/>
  <c r="T28" i="55" s="1"/>
  <c r="K29" i="55"/>
  <c r="T29" i="55" s="1"/>
  <c r="K30" i="55"/>
  <c r="K31" i="55"/>
  <c r="T31" i="55" s="1"/>
  <c r="K32" i="55"/>
  <c r="T32" i="55" s="1"/>
  <c r="K33" i="55"/>
  <c r="T33" i="55" s="1"/>
  <c r="K10" i="55"/>
  <c r="T10" i="55" s="1"/>
  <c r="J11" i="55"/>
  <c r="S11" i="55" s="1"/>
  <c r="J12" i="55"/>
  <c r="S12" i="55" s="1"/>
  <c r="J13" i="55"/>
  <c r="S13" i="55" s="1"/>
  <c r="J14" i="55"/>
  <c r="S14" i="55" s="1"/>
  <c r="J15" i="55"/>
  <c r="S15" i="55" s="1"/>
  <c r="J16" i="55"/>
  <c r="S16" i="55" s="1"/>
  <c r="J17" i="55"/>
  <c r="J18" i="55"/>
  <c r="J19" i="55"/>
  <c r="J20" i="55"/>
  <c r="J21" i="55"/>
  <c r="S21" i="55" s="1"/>
  <c r="J22" i="55"/>
  <c r="J23" i="55"/>
  <c r="S23" i="55" s="1"/>
  <c r="J24" i="55"/>
  <c r="S24" i="55" s="1"/>
  <c r="J25" i="55"/>
  <c r="S25" i="55" s="1"/>
  <c r="J26" i="55"/>
  <c r="S26" i="55" s="1"/>
  <c r="J27" i="55"/>
  <c r="S27" i="55" s="1"/>
  <c r="J28" i="55"/>
  <c r="S28" i="55" s="1"/>
  <c r="J29" i="55"/>
  <c r="S29" i="55" s="1"/>
  <c r="J30" i="55"/>
  <c r="S30" i="55" s="1"/>
  <c r="J31" i="55"/>
  <c r="J32" i="55"/>
  <c r="J33" i="55"/>
  <c r="S33" i="55" s="1"/>
  <c r="J10" i="55"/>
  <c r="S10" i="55" s="1"/>
  <c r="I11" i="55"/>
  <c r="R11" i="55" s="1"/>
  <c r="I12" i="55"/>
  <c r="R12" i="55" s="1"/>
  <c r="I13" i="55"/>
  <c r="R13" i="55" s="1"/>
  <c r="I14" i="55"/>
  <c r="R14" i="55" s="1"/>
  <c r="I15" i="55"/>
  <c r="R15" i="55" s="1"/>
  <c r="I16" i="55"/>
  <c r="I17" i="55"/>
  <c r="R17" i="55" s="1"/>
  <c r="I18" i="55"/>
  <c r="R18" i="55" s="1"/>
  <c r="I19" i="55"/>
  <c r="R19" i="55" s="1"/>
  <c r="I20" i="55"/>
  <c r="R20" i="55" s="1"/>
  <c r="I21" i="55"/>
  <c r="I22" i="55"/>
  <c r="I23" i="55"/>
  <c r="I24" i="55"/>
  <c r="R24" i="55" s="1"/>
  <c r="I25" i="55"/>
  <c r="R25" i="55" s="1"/>
  <c r="I26" i="55"/>
  <c r="R26" i="55" s="1"/>
  <c r="I27" i="55"/>
  <c r="R27" i="55" s="1"/>
  <c r="I28" i="55"/>
  <c r="R28" i="55" s="1"/>
  <c r="I29" i="55"/>
  <c r="R29" i="55" s="1"/>
  <c r="I30" i="55"/>
  <c r="R30" i="55" s="1"/>
  <c r="I31" i="55"/>
  <c r="R31" i="55" s="1"/>
  <c r="I32" i="55"/>
  <c r="I33" i="55"/>
  <c r="R33" i="55" s="1"/>
  <c r="I10" i="55"/>
  <c r="R10" i="55" s="1"/>
  <c r="H11" i="55"/>
  <c r="H12" i="55"/>
  <c r="H13" i="55"/>
  <c r="H14" i="55"/>
  <c r="H15" i="55"/>
  <c r="Q15" i="55" s="1"/>
  <c r="H16" i="55"/>
  <c r="Q16" i="55" s="1"/>
  <c r="H17" i="55"/>
  <c r="H18" i="55"/>
  <c r="Q18" i="55" s="1"/>
  <c r="H19" i="55"/>
  <c r="Q19" i="55" s="1"/>
  <c r="H20" i="55"/>
  <c r="H21" i="55"/>
  <c r="H22" i="55"/>
  <c r="Q22" i="55" s="1"/>
  <c r="H23" i="55"/>
  <c r="H24" i="55"/>
  <c r="Q24" i="55" s="1"/>
  <c r="H25" i="55"/>
  <c r="H26" i="55"/>
  <c r="H27" i="55"/>
  <c r="H28" i="55"/>
  <c r="H29" i="55"/>
  <c r="H30" i="55"/>
  <c r="Q30" i="55" s="1"/>
  <c r="H31" i="55"/>
  <c r="Q31" i="55" s="1"/>
  <c r="H32" i="55"/>
  <c r="Q32" i="55" s="1"/>
  <c r="H33" i="55"/>
  <c r="L33" i="55" s="1"/>
  <c r="H10" i="55"/>
  <c r="N2" i="75"/>
  <c r="BG33" i="40"/>
  <c r="BH33" i="40" s="1"/>
  <c r="BH10" i="40"/>
  <c r="BI10" i="40" s="1"/>
  <c r="BF11" i="55"/>
  <c r="BG11" i="55" s="1"/>
  <c r="BF12" i="55"/>
  <c r="BG12" i="55" s="1"/>
  <c r="BF13" i="55"/>
  <c r="BG13" i="55" s="1"/>
  <c r="BF14" i="55"/>
  <c r="BG14" i="55" s="1"/>
  <c r="BF15" i="55"/>
  <c r="BG15" i="55" s="1"/>
  <c r="BF16" i="55"/>
  <c r="BG16" i="55" s="1"/>
  <c r="BF17" i="55"/>
  <c r="BG17" i="55" s="1"/>
  <c r="BF18" i="55"/>
  <c r="BG18" i="55" s="1"/>
  <c r="BF19" i="55"/>
  <c r="BG19" i="55" s="1"/>
  <c r="BF20" i="55"/>
  <c r="BG20" i="55" s="1"/>
  <c r="BF21" i="55"/>
  <c r="BG21" i="55" s="1"/>
  <c r="BF22" i="55"/>
  <c r="BG22" i="55" s="1"/>
  <c r="BF23" i="55"/>
  <c r="BG23" i="55" s="1"/>
  <c r="BF24" i="55"/>
  <c r="BG24" i="55" s="1"/>
  <c r="BF25" i="55"/>
  <c r="BG25" i="55" s="1"/>
  <c r="BF26" i="55"/>
  <c r="BG26" i="55" s="1"/>
  <c r="BF27" i="55"/>
  <c r="BG27" i="55" s="1"/>
  <c r="BF28" i="55"/>
  <c r="BG28" i="55" s="1"/>
  <c r="BF29" i="55"/>
  <c r="BG29" i="55" s="1"/>
  <c r="BF30" i="55"/>
  <c r="BG30" i="55" s="1"/>
  <c r="BF32" i="55"/>
  <c r="BG32" i="55" s="1"/>
  <c r="BF10" i="55"/>
  <c r="BG10" i="55" s="1"/>
  <c r="L2" i="74"/>
  <c r="K2" i="74"/>
  <c r="J2" i="74"/>
  <c r="H2" i="74"/>
  <c r="I2" i="74"/>
  <c r="AD7" i="7" s="1"/>
  <c r="G2" i="74"/>
  <c r="E2" i="74"/>
  <c r="C2" i="74"/>
  <c r="AY33" i="55"/>
  <c r="AY11" i="55"/>
  <c r="AY12" i="55"/>
  <c r="AY13" i="55"/>
  <c r="AY14" i="55"/>
  <c r="AY15" i="55"/>
  <c r="AY16" i="55"/>
  <c r="AY17" i="55"/>
  <c r="AY18" i="55"/>
  <c r="AY19" i="55"/>
  <c r="AY20" i="55"/>
  <c r="AY21" i="55"/>
  <c r="AY22" i="55"/>
  <c r="AY23" i="55"/>
  <c r="AY24" i="55"/>
  <c r="AY25" i="55"/>
  <c r="AY26" i="55"/>
  <c r="AY27" i="55"/>
  <c r="AY28" i="55"/>
  <c r="AY29" i="55"/>
  <c r="AY30" i="55"/>
  <c r="AY32" i="55"/>
  <c r="AY10" i="55"/>
  <c r="AZ10" i="55" s="1"/>
  <c r="AQ10" i="40"/>
  <c r="AN17" i="55"/>
  <c r="AD21" i="55"/>
  <c r="AD22" i="55"/>
  <c r="AE24" i="55"/>
  <c r="Q12" i="55"/>
  <c r="S18" i="55"/>
  <c r="S20" i="55"/>
  <c r="Q14" i="55"/>
  <c r="T16" i="55"/>
  <c r="S17" i="55"/>
  <c r="T18" i="55"/>
  <c r="S19" i="55"/>
  <c r="R21" i="55"/>
  <c r="R22" i="55"/>
  <c r="Q23" i="55"/>
  <c r="R23" i="55"/>
  <c r="T30" i="55"/>
  <c r="S31" i="55"/>
  <c r="R32" i="55"/>
  <c r="S32" i="55"/>
  <c r="B2" i="74"/>
  <c r="M2" i="75"/>
  <c r="H2" i="75"/>
  <c r="I2" i="75"/>
  <c r="G2" i="75"/>
  <c r="D2" i="75"/>
  <c r="E2" i="75"/>
  <c r="F2" i="75"/>
  <c r="C2" i="75"/>
  <c r="O2" i="73"/>
  <c r="N2" i="73"/>
  <c r="I2" i="73"/>
  <c r="J2" i="73"/>
  <c r="Y7" i="7" s="1"/>
  <c r="K2" i="73"/>
  <c r="L2" i="73"/>
  <c r="H2" i="73"/>
  <c r="D2" i="73"/>
  <c r="AA7" i="7" s="1"/>
  <c r="E2" i="73"/>
  <c r="Z7" i="7" s="1"/>
  <c r="F2" i="73"/>
  <c r="G2" i="73"/>
  <c r="C2" i="73"/>
  <c r="S79" i="40"/>
  <c r="T79" i="40"/>
  <c r="D26" i="52"/>
  <c r="D25" i="52"/>
  <c r="D24" i="52"/>
  <c r="D10" i="55" a="1"/>
  <c r="U8" i="7" l="1"/>
  <c r="CE22" i="78"/>
  <c r="CC22" i="78"/>
  <c r="CD22" i="78"/>
  <c r="CA22" i="78"/>
  <c r="AF8" i="7"/>
  <c r="AH8" i="7" s="1"/>
  <c r="AG8" i="7"/>
  <c r="AI8" i="7" s="1"/>
  <c r="AN24" i="78"/>
  <c r="AS23" i="78"/>
  <c r="AR23" i="78"/>
  <c r="CL23" i="78"/>
  <c r="CO23" i="78" s="1"/>
  <c r="CP23" i="78" s="1"/>
  <c r="BV31" i="55"/>
  <c r="BW31" i="55"/>
  <c r="BE31" i="55"/>
  <c r="BH21" i="55"/>
  <c r="BX21" i="55"/>
  <c r="BY21" i="55"/>
  <c r="AO29" i="55"/>
  <c r="BU29" i="55"/>
  <c r="BT29" i="55"/>
  <c r="AO15" i="55"/>
  <c r="BU15" i="55"/>
  <c r="BT15" i="55"/>
  <c r="AN31" i="55"/>
  <c r="BU31" i="55"/>
  <c r="BT31" i="55"/>
  <c r="BH20" i="55"/>
  <c r="BX20" i="55"/>
  <c r="BY20" i="55"/>
  <c r="AN28" i="55"/>
  <c r="BU28" i="55"/>
  <c r="BT28" i="55"/>
  <c r="AN14" i="55"/>
  <c r="BU14" i="55"/>
  <c r="BT14" i="55"/>
  <c r="BH19" i="55"/>
  <c r="BY19" i="55"/>
  <c r="BX19" i="55"/>
  <c r="AN27" i="55"/>
  <c r="BU27" i="55"/>
  <c r="BT27" i="55"/>
  <c r="AN13" i="55"/>
  <c r="BU13" i="55"/>
  <c r="BT13" i="55"/>
  <c r="BH10" i="55"/>
  <c r="BX10" i="55"/>
  <c r="BY10" i="55"/>
  <c r="BH18" i="55"/>
  <c r="BY18" i="55"/>
  <c r="BX18" i="55"/>
  <c r="AN26" i="55"/>
  <c r="BU26" i="55"/>
  <c r="BT26" i="55"/>
  <c r="AN12" i="55"/>
  <c r="BU12" i="55"/>
  <c r="BT12" i="55"/>
  <c r="I8" i="7"/>
  <c r="BH32" i="55"/>
  <c r="BY32" i="55"/>
  <c r="BX32" i="55"/>
  <c r="BH17" i="55"/>
  <c r="BY17" i="55"/>
  <c r="BX17" i="55"/>
  <c r="AN25" i="55"/>
  <c r="BU25" i="55"/>
  <c r="BT25" i="55"/>
  <c r="AN11" i="55"/>
  <c r="BU11" i="55"/>
  <c r="BT11" i="55"/>
  <c r="BH30" i="55"/>
  <c r="BY30" i="55"/>
  <c r="BX30" i="55"/>
  <c r="BH16" i="55"/>
  <c r="BY16" i="55"/>
  <c r="BX16" i="55"/>
  <c r="AN24" i="55"/>
  <c r="AR24" i="55" s="1"/>
  <c r="AT24" i="55" s="1"/>
  <c r="BU24" i="55"/>
  <c r="BT24" i="55"/>
  <c r="BH29" i="55"/>
  <c r="BY29" i="55"/>
  <c r="BX29" i="55"/>
  <c r="BH15" i="55"/>
  <c r="BY15" i="55"/>
  <c r="BX15" i="55"/>
  <c r="AN23" i="55"/>
  <c r="AR23" i="55" s="1"/>
  <c r="AT23" i="55" s="1"/>
  <c r="BT23" i="55"/>
  <c r="BU23" i="55"/>
  <c r="BH31" i="55"/>
  <c r="BY31" i="55"/>
  <c r="BX31" i="55"/>
  <c r="BH28" i="55"/>
  <c r="BY28" i="55"/>
  <c r="BX28" i="55"/>
  <c r="BH14" i="55"/>
  <c r="BY14" i="55"/>
  <c r="BX14" i="55"/>
  <c r="BZ64" i="40"/>
  <c r="BY64" i="40"/>
  <c r="CE64" i="40" s="1"/>
  <c r="AN22" i="55"/>
  <c r="BT22" i="55"/>
  <c r="BU22" i="55"/>
  <c r="BH27" i="55"/>
  <c r="BY27" i="55"/>
  <c r="BX27" i="55"/>
  <c r="BY13" i="55"/>
  <c r="BX13" i="55"/>
  <c r="AD28" i="55"/>
  <c r="AN21" i="55"/>
  <c r="AS21" i="55" s="1"/>
  <c r="BT21" i="55"/>
  <c r="BU21" i="55"/>
  <c r="BH26" i="55"/>
  <c r="BY26" i="55"/>
  <c r="BX26" i="55"/>
  <c r="BH12" i="55"/>
  <c r="BY12" i="55"/>
  <c r="BX12" i="55"/>
  <c r="AD27" i="55"/>
  <c r="AO20" i="55"/>
  <c r="BT20" i="55"/>
  <c r="BU20" i="55"/>
  <c r="BH25" i="55"/>
  <c r="BX25" i="55"/>
  <c r="BY25" i="55"/>
  <c r="BH11" i="55"/>
  <c r="BX11" i="55"/>
  <c r="BY11" i="55"/>
  <c r="AH34" i="55"/>
  <c r="L7" i="7" s="1"/>
  <c r="X7" i="7" s="1"/>
  <c r="AO10" i="55"/>
  <c r="BU10" i="55"/>
  <c r="BT10" i="55"/>
  <c r="AN19" i="55"/>
  <c r="AR19" i="55" s="1"/>
  <c r="AT19" i="55" s="1"/>
  <c r="BT19" i="55"/>
  <c r="BU19" i="55"/>
  <c r="BH24" i="55"/>
  <c r="BX24" i="55"/>
  <c r="BY24" i="55"/>
  <c r="AO33" i="55"/>
  <c r="BT33" i="55"/>
  <c r="BU33" i="55"/>
  <c r="AO18" i="55"/>
  <c r="BT18" i="55"/>
  <c r="BU18" i="55"/>
  <c r="BH33" i="55"/>
  <c r="BY33" i="55"/>
  <c r="BX33" i="55"/>
  <c r="BH23" i="55"/>
  <c r="BX23" i="55"/>
  <c r="BY23" i="55"/>
  <c r="BZ41" i="40"/>
  <c r="BY41" i="40"/>
  <c r="CE41" i="40" s="1"/>
  <c r="AO32" i="55"/>
  <c r="BT32" i="55"/>
  <c r="BU32" i="55"/>
  <c r="AO17" i="55"/>
  <c r="BU17" i="55"/>
  <c r="BT17" i="55"/>
  <c r="BH22" i="55"/>
  <c r="BX22" i="55"/>
  <c r="BY22" i="55"/>
  <c r="AN30" i="55"/>
  <c r="BU30" i="55"/>
  <c r="BT30" i="55"/>
  <c r="AN16" i="55"/>
  <c r="BU16" i="55"/>
  <c r="BT16" i="55"/>
  <c r="AN32" i="55"/>
  <c r="AO27" i="55"/>
  <c r="AN18" i="55"/>
  <c r="AS18" i="55" s="1"/>
  <c r="AN29" i="55"/>
  <c r="AO30" i="55"/>
  <c r="AN15" i="55"/>
  <c r="AS15" i="55" s="1"/>
  <c r="AO28" i="55"/>
  <c r="AS29" i="55"/>
  <c r="AO21" i="55"/>
  <c r="AN20" i="55"/>
  <c r="AS20" i="55" s="1"/>
  <c r="AO19" i="55"/>
  <c r="AE33" i="55"/>
  <c r="AD19" i="55"/>
  <c r="AD29" i="55"/>
  <c r="AD15" i="55"/>
  <c r="AO16" i="55"/>
  <c r="AD13" i="55"/>
  <c r="AO14" i="55"/>
  <c r="AE27" i="55"/>
  <c r="AE16" i="55"/>
  <c r="AE22" i="55"/>
  <c r="AN10" i="55"/>
  <c r="AS10" i="55" s="1"/>
  <c r="AU10" i="55" s="1"/>
  <c r="AO13" i="55"/>
  <c r="AE21" i="55"/>
  <c r="BH34" i="55"/>
  <c r="AR16" i="55"/>
  <c r="AT16" i="55" s="1"/>
  <c r="BI31" i="55"/>
  <c r="L10" i="55"/>
  <c r="AO26" i="55"/>
  <c r="AO12" i="55"/>
  <c r="AE28" i="55"/>
  <c r="AO25" i="55"/>
  <c r="AO11" i="55"/>
  <c r="AD20" i="55"/>
  <c r="AD30" i="55"/>
  <c r="AD16" i="55"/>
  <c r="AO24" i="55"/>
  <c r="AO23" i="55"/>
  <c r="AO22" i="55"/>
  <c r="AR17" i="55"/>
  <c r="AT17" i="55" s="1"/>
  <c r="AS31" i="55"/>
  <c r="AR31" i="55"/>
  <c r="AT31" i="55" s="1"/>
  <c r="AL34" i="55"/>
  <c r="AO31" i="55"/>
  <c r="BF34" i="55"/>
  <c r="AS30" i="55"/>
  <c r="BC10" i="55"/>
  <c r="BD10" i="55" s="1"/>
  <c r="BB10" i="55"/>
  <c r="AS17" i="55"/>
  <c r="AS16" i="55"/>
  <c r="AR14" i="55"/>
  <c r="AT14" i="55" s="1"/>
  <c r="AR28" i="55"/>
  <c r="AT28" i="55" s="1"/>
  <c r="AS22" i="55"/>
  <c r="AR32" i="55"/>
  <c r="AT32" i="55" s="1"/>
  <c r="AR29" i="55"/>
  <c r="AT29" i="55" s="1"/>
  <c r="AR12" i="55"/>
  <c r="AT12" i="55" s="1"/>
  <c r="AS12" i="55"/>
  <c r="AS25" i="55"/>
  <c r="AR25" i="55"/>
  <c r="AT25" i="55" s="1"/>
  <c r="AS11" i="55"/>
  <c r="AR11" i="55"/>
  <c r="AT11" i="55" s="1"/>
  <c r="AR26" i="55"/>
  <c r="AT26" i="55" s="1"/>
  <c r="AS26" i="55"/>
  <c r="AS27" i="55"/>
  <c r="AR27" i="55"/>
  <c r="AT27" i="55" s="1"/>
  <c r="AS13" i="55"/>
  <c r="AR13" i="55"/>
  <c r="AT13" i="55" s="1"/>
  <c r="AR30" i="55"/>
  <c r="AT30" i="55" s="1"/>
  <c r="AR21" i="55"/>
  <c r="AT21" i="55" s="1"/>
  <c r="AR20" i="55"/>
  <c r="AT20" i="55" s="1"/>
  <c r="AS32" i="55"/>
  <c r="AR18" i="55"/>
  <c r="AT18" i="55" s="1"/>
  <c r="AR33" i="55"/>
  <c r="AT33" i="55" s="1"/>
  <c r="AS19" i="55"/>
  <c r="D10" i="55"/>
  <c r="AH35" i="55" s="1"/>
  <c r="BY35" i="55" s="1"/>
  <c r="Q10" i="55"/>
  <c r="U10" i="55" s="1"/>
  <c r="AD32" i="55"/>
  <c r="AD18" i="55"/>
  <c r="AD14" i="55"/>
  <c r="AD10" i="55"/>
  <c r="Y35" i="55"/>
  <c r="AE10" i="55"/>
  <c r="AB34" i="55"/>
  <c r="AB35" i="55"/>
  <c r="AE19" i="55"/>
  <c r="AE20" i="55"/>
  <c r="AD33" i="55"/>
  <c r="AD25" i="55"/>
  <c r="AD11" i="55"/>
  <c r="AE32" i="55"/>
  <c r="AD24" i="55"/>
  <c r="AE17" i="55"/>
  <c r="AE13" i="55"/>
  <c r="AE31" i="55"/>
  <c r="AE26" i="55"/>
  <c r="AE29" i="55"/>
  <c r="AE15" i="55"/>
  <c r="AE14" i="55"/>
  <c r="AE12" i="55"/>
  <c r="AD31" i="55"/>
  <c r="AD23" i="55"/>
  <c r="AE30" i="55"/>
  <c r="AB36" i="55"/>
  <c r="AD26" i="55"/>
  <c r="AD12" i="55"/>
  <c r="AE25" i="55"/>
  <c r="AE18" i="55"/>
  <c r="AE11" i="55"/>
  <c r="AE23" i="55"/>
  <c r="Y36" i="55"/>
  <c r="Y34" i="55"/>
  <c r="U12" i="55"/>
  <c r="U18" i="55"/>
  <c r="L22" i="55"/>
  <c r="U15" i="55"/>
  <c r="S22" i="55"/>
  <c r="U22" i="55" s="1"/>
  <c r="L15" i="55"/>
  <c r="L25" i="55"/>
  <c r="L11" i="55"/>
  <c r="L28" i="55"/>
  <c r="L21" i="55"/>
  <c r="L17" i="55"/>
  <c r="L27" i="55"/>
  <c r="U24" i="55"/>
  <c r="U14" i="55"/>
  <c r="U32" i="55"/>
  <c r="U23" i="55"/>
  <c r="U30" i="55"/>
  <c r="L20" i="55"/>
  <c r="L32" i="55"/>
  <c r="L16" i="55"/>
  <c r="Q27" i="55"/>
  <c r="U27" i="55" s="1"/>
  <c r="Q21" i="55"/>
  <c r="U21" i="55" s="1"/>
  <c r="AS23" i="55"/>
  <c r="L19" i="55"/>
  <c r="Q11" i="55"/>
  <c r="L12" i="55"/>
  <c r="Q17" i="55"/>
  <c r="U17" i="55" s="1"/>
  <c r="AR22" i="55"/>
  <c r="AT22" i="55" s="1"/>
  <c r="Q33" i="55"/>
  <c r="U33" i="55" s="1"/>
  <c r="L29" i="55"/>
  <c r="L18" i="55"/>
  <c r="Q20" i="55"/>
  <c r="U20" i="55" s="1"/>
  <c r="AS28" i="55"/>
  <c r="AS14" i="55"/>
  <c r="L23" i="55"/>
  <c r="L30" i="55"/>
  <c r="L13" i="55"/>
  <c r="L26" i="55"/>
  <c r="L31" i="55"/>
  <c r="Q26" i="55"/>
  <c r="U26" i="55" s="1"/>
  <c r="Q29" i="55"/>
  <c r="U29" i="55" s="1"/>
  <c r="R16" i="55"/>
  <c r="U16" i="55" s="1"/>
  <c r="Q13" i="55"/>
  <c r="U13" i="55" s="1"/>
  <c r="U31" i="55"/>
  <c r="U19" i="55"/>
  <c r="AS33" i="55"/>
  <c r="L24" i="55"/>
  <c r="L14" i="55"/>
  <c r="Q28" i="55"/>
  <c r="U28" i="55" s="1"/>
  <c r="Q25" i="55"/>
  <c r="U25" i="55" s="1"/>
  <c r="AF34" i="55"/>
  <c r="AF36" i="55"/>
  <c r="BU36" i="55" s="1"/>
  <c r="AF35" i="55"/>
  <c r="BU35" i="55" s="1"/>
  <c r="AG35" i="55"/>
  <c r="AG36" i="55"/>
  <c r="AH36" i="55"/>
  <c r="BY36" i="55" s="1"/>
  <c r="AC34" i="55"/>
  <c r="AC35" i="55"/>
  <c r="AC36" i="55"/>
  <c r="AA36" i="55"/>
  <c r="AA35" i="55"/>
  <c r="AA34" i="55"/>
  <c r="W34" i="55"/>
  <c r="X34" i="55"/>
  <c r="Z34" i="55"/>
  <c r="W35" i="55"/>
  <c r="X35" i="55"/>
  <c r="Z35" i="55"/>
  <c r="W36" i="55"/>
  <c r="X36" i="55"/>
  <c r="Z36" i="55"/>
  <c r="V36" i="55"/>
  <c r="V35" i="55"/>
  <c r="V34" i="55"/>
  <c r="J35" i="55"/>
  <c r="J36" i="55"/>
  <c r="K35" i="55"/>
  <c r="H35" i="55"/>
  <c r="I35" i="55"/>
  <c r="H36" i="55"/>
  <c r="I36" i="55"/>
  <c r="K36" i="55"/>
  <c r="K34" i="55"/>
  <c r="J34" i="55"/>
  <c r="I34" i="55"/>
  <c r="H34" i="55"/>
  <c r="AG34" i="55"/>
  <c r="K7" i="7" s="1"/>
  <c r="W7" i="7" s="1"/>
  <c r="Y27" i="72"/>
  <c r="X27" i="72"/>
  <c r="W27" i="72"/>
  <c r="T27" i="72"/>
  <c r="S27" i="72"/>
  <c r="R27" i="72"/>
  <c r="Q27" i="72"/>
  <c r="N3" i="47"/>
  <c r="M3" i="47"/>
  <c r="G3" i="47"/>
  <c r="H3" i="47"/>
  <c r="I3" i="47"/>
  <c r="J3" i="47"/>
  <c r="K3" i="47"/>
  <c r="F3" i="47"/>
  <c r="E3" i="47"/>
  <c r="C3" i="47"/>
  <c r="J3" i="46"/>
  <c r="K3" i="46"/>
  <c r="L3" i="46"/>
  <c r="H3" i="46"/>
  <c r="I3" i="46"/>
  <c r="G3" i="46"/>
  <c r="D3" i="46"/>
  <c r="C3" i="46"/>
  <c r="B3" i="46"/>
  <c r="O3" i="45"/>
  <c r="N3" i="45"/>
  <c r="E3" i="45"/>
  <c r="D3" i="45"/>
  <c r="F3" i="45"/>
  <c r="H3" i="45"/>
  <c r="J3" i="45"/>
  <c r="K3" i="45"/>
  <c r="L3" i="45"/>
  <c r="E15" i="55" a="1"/>
  <c r="G33" i="55" a="1"/>
  <c r="F11" i="55" a="1"/>
  <c r="F29" i="55" a="1"/>
  <c r="D15" i="55" a="1"/>
  <c r="F10" i="55" a="1"/>
  <c r="F12" i="55" a="1"/>
  <c r="CC23" i="78" l="1"/>
  <c r="CE23" i="78"/>
  <c r="CA23" i="78"/>
  <c r="CD23" i="78"/>
  <c r="AN25" i="78"/>
  <c r="CL24" i="78"/>
  <c r="CO24" i="78" s="1"/>
  <c r="CP24" i="78" s="1"/>
  <c r="AR24" i="78"/>
  <c r="AS24" i="78"/>
  <c r="J7" i="7"/>
  <c r="AS24" i="55"/>
  <c r="BW10" i="55"/>
  <c r="BV10" i="55"/>
  <c r="AR15" i="55"/>
  <c r="AT15" i="55" s="1"/>
  <c r="BT34" i="55"/>
  <c r="BU34" i="55"/>
  <c r="AU31" i="55"/>
  <c r="BJ31" i="55"/>
  <c r="CB31" i="55" s="1"/>
  <c r="CE31" i="55" s="1"/>
  <c r="BZ31" i="55"/>
  <c r="CD31" i="55" s="1"/>
  <c r="AR10" i="55"/>
  <c r="AT10" i="55" s="1"/>
  <c r="BE10" i="55"/>
  <c r="BI10" i="55" s="1"/>
  <c r="BZ10" i="55" s="1"/>
  <c r="CD10" i="55" s="1"/>
  <c r="AD35" i="55"/>
  <c r="AD34" i="55"/>
  <c r="AE36" i="55"/>
  <c r="AD36" i="55"/>
  <c r="AE34" i="55"/>
  <c r="AE35" i="55"/>
  <c r="Q35" i="55"/>
  <c r="U11" i="55"/>
  <c r="Q34" i="55"/>
  <c r="Q36" i="55"/>
  <c r="T35" i="55"/>
  <c r="R35" i="55"/>
  <c r="S35" i="55"/>
  <c r="T36" i="55"/>
  <c r="S36" i="55"/>
  <c r="R36" i="55"/>
  <c r="L36" i="55"/>
  <c r="L35" i="55"/>
  <c r="L34" i="55"/>
  <c r="G33" i="55"/>
  <c r="D15" i="55"/>
  <c r="E15" i="55"/>
  <c r="F29" i="55"/>
  <c r="F10" i="55"/>
  <c r="F12" i="55"/>
  <c r="F11" i="55"/>
  <c r="CA24" i="78" l="1"/>
  <c r="CD24" i="78"/>
  <c r="CE24" i="78"/>
  <c r="CC24" i="78"/>
  <c r="AR25" i="78"/>
  <c r="AS25" i="78"/>
  <c r="CL25" i="78"/>
  <c r="CO25" i="78" s="1"/>
  <c r="CP25" i="78" s="1"/>
  <c r="AN26" i="78"/>
  <c r="BJ10" i="55"/>
  <c r="CB10" i="55" s="1"/>
  <c r="CE10" i="55" s="1"/>
  <c r="U36" i="55"/>
  <c r="U34" i="55"/>
  <c r="U35" i="55"/>
  <c r="CC25" i="78" l="1"/>
  <c r="CE25" i="78"/>
  <c r="CD25" i="78"/>
  <c r="CA25" i="78"/>
  <c r="CL26" i="78"/>
  <c r="CO26" i="78" s="1"/>
  <c r="CP26" i="78" s="1"/>
  <c r="AR26" i="78"/>
  <c r="AS26" i="78"/>
  <c r="AN27" i="78"/>
  <c r="AR10" i="40"/>
  <c r="AE6" i="7"/>
  <c r="AD6" i="7"/>
  <c r="AA6" i="7"/>
  <c r="Z6" i="7"/>
  <c r="CC26" i="78" l="1"/>
  <c r="CE26" i="78"/>
  <c r="CA26" i="78"/>
  <c r="CD26" i="78"/>
  <c r="CL27" i="78"/>
  <c r="CO27" i="78" s="1"/>
  <c r="CP27" i="78" s="1"/>
  <c r="AS27" i="78"/>
  <c r="AR27" i="78"/>
  <c r="AN28" i="78"/>
  <c r="L34" i="40"/>
  <c r="C41" i="55"/>
  <c r="E7" i="7" s="1"/>
  <c r="Q7" i="7" s="1"/>
  <c r="E6" i="7"/>
  <c r="D6" i="7"/>
  <c r="B32" i="5"/>
  <c r="M31" i="40"/>
  <c r="C44" i="40"/>
  <c r="B15" i="5" s="1"/>
  <c r="J34" i="40"/>
  <c r="C43" i="40" s="1"/>
  <c r="H34" i="40"/>
  <c r="C41" i="40" s="1"/>
  <c r="BG11" i="40"/>
  <c r="BH11" i="40" s="1"/>
  <c r="BG12" i="40"/>
  <c r="BH12" i="40" s="1"/>
  <c r="BG13" i="40"/>
  <c r="BH13" i="40" s="1"/>
  <c r="BG14" i="40"/>
  <c r="BH14" i="40" s="1"/>
  <c r="BG15" i="40"/>
  <c r="BH15" i="40" s="1"/>
  <c r="BG16" i="40"/>
  <c r="BH16" i="40" s="1"/>
  <c r="BG17" i="40"/>
  <c r="BH17" i="40" s="1"/>
  <c r="BG18" i="40"/>
  <c r="BH18" i="40" s="1"/>
  <c r="BG19" i="40"/>
  <c r="BH19" i="40" s="1"/>
  <c r="BG20" i="40"/>
  <c r="BH20" i="40" s="1"/>
  <c r="BG21" i="40"/>
  <c r="BH21" i="40" s="1"/>
  <c r="BG22" i="40"/>
  <c r="BH22" i="40" s="1"/>
  <c r="BG23" i="40"/>
  <c r="BH23" i="40" s="1"/>
  <c r="BG24" i="40"/>
  <c r="BH24" i="40" s="1"/>
  <c r="BG25" i="40"/>
  <c r="BH25" i="40" s="1"/>
  <c r="BG26" i="40"/>
  <c r="BH26" i="40" s="1"/>
  <c r="BG27" i="40"/>
  <c r="BH27" i="40" s="1"/>
  <c r="BG28" i="40"/>
  <c r="BH28" i="40" s="1"/>
  <c r="BG29" i="40"/>
  <c r="BH29" i="40" s="1"/>
  <c r="BG30" i="40"/>
  <c r="BH30" i="40" s="1"/>
  <c r="BG31" i="40"/>
  <c r="BH31" i="40" s="1"/>
  <c r="BH32" i="40"/>
  <c r="AZ33" i="40"/>
  <c r="AZ11" i="40"/>
  <c r="BA11" i="40" s="1"/>
  <c r="BV11" i="40" s="1"/>
  <c r="AZ12" i="40"/>
  <c r="AZ13" i="40"/>
  <c r="AZ14" i="40"/>
  <c r="AZ15" i="40"/>
  <c r="AZ16" i="40"/>
  <c r="AZ17" i="40"/>
  <c r="AZ18" i="40"/>
  <c r="AZ19" i="40"/>
  <c r="AZ20" i="40"/>
  <c r="AZ21" i="40"/>
  <c r="AZ22" i="40"/>
  <c r="AZ23" i="40"/>
  <c r="AZ24" i="40"/>
  <c r="AZ25" i="40"/>
  <c r="AZ26" i="40"/>
  <c r="AZ27" i="40"/>
  <c r="AZ28" i="40"/>
  <c r="AZ29" i="40"/>
  <c r="AZ30" i="40"/>
  <c r="AZ31" i="40"/>
  <c r="AZ32" i="40"/>
  <c r="AX10" i="40"/>
  <c r="AW10" i="40"/>
  <c r="AR11" i="40"/>
  <c r="AR12" i="40"/>
  <c r="AR13" i="40"/>
  <c r="AR14" i="40"/>
  <c r="AR15" i="40"/>
  <c r="AR16" i="40"/>
  <c r="AR17" i="40"/>
  <c r="AR18" i="40"/>
  <c r="AR19" i="40"/>
  <c r="AR20" i="40"/>
  <c r="AR21" i="40"/>
  <c r="AR22" i="40"/>
  <c r="AR23" i="40"/>
  <c r="AR24" i="40"/>
  <c r="AR25" i="40"/>
  <c r="AR26" i="40"/>
  <c r="AR27" i="40"/>
  <c r="AR28" i="40"/>
  <c r="AR29" i="40"/>
  <c r="AR30" i="40"/>
  <c r="AR31" i="40"/>
  <c r="AR32" i="40"/>
  <c r="AR33" i="40"/>
  <c r="AQ11" i="40"/>
  <c r="AQ12" i="40"/>
  <c r="AQ13" i="40"/>
  <c r="AQ14" i="40"/>
  <c r="AQ15" i="40"/>
  <c r="AQ16" i="40"/>
  <c r="AQ17" i="40"/>
  <c r="AQ18" i="40"/>
  <c r="AQ19" i="40"/>
  <c r="AQ20" i="40"/>
  <c r="AQ21" i="40"/>
  <c r="AQ22" i="40"/>
  <c r="AQ23" i="40"/>
  <c r="AQ24" i="40"/>
  <c r="AQ25" i="40"/>
  <c r="AQ26" i="40"/>
  <c r="AQ27" i="40"/>
  <c r="AQ28" i="40"/>
  <c r="AQ29" i="40"/>
  <c r="AQ30" i="40"/>
  <c r="AQ31" i="40"/>
  <c r="AQ32" i="40"/>
  <c r="AQ33" i="40"/>
  <c r="AT10" i="40"/>
  <c r="AM11" i="40"/>
  <c r="AO11" i="40" s="1"/>
  <c r="AM12" i="40"/>
  <c r="AM13" i="40"/>
  <c r="AM14" i="40"/>
  <c r="AM15" i="40"/>
  <c r="AM16" i="40"/>
  <c r="AM17" i="40"/>
  <c r="AM18" i="40"/>
  <c r="AM19" i="40"/>
  <c r="AM20" i="40"/>
  <c r="AM21" i="40"/>
  <c r="AM22" i="40"/>
  <c r="AM23" i="40"/>
  <c r="AM24" i="40"/>
  <c r="AM25" i="40"/>
  <c r="AM26" i="40"/>
  <c r="AM27" i="40"/>
  <c r="AM28" i="40"/>
  <c r="AM29" i="40"/>
  <c r="AM30" i="40"/>
  <c r="AM31" i="40"/>
  <c r="AM32" i="40"/>
  <c r="AM33" i="40"/>
  <c r="AM10" i="40"/>
  <c r="AO10" i="40" s="1"/>
  <c r="AS10" i="40" s="1"/>
  <c r="AU10" i="40" s="1"/>
  <c r="AL11" i="40"/>
  <c r="AL12" i="40"/>
  <c r="AL13" i="40"/>
  <c r="AL14" i="40"/>
  <c r="AL15" i="40"/>
  <c r="AL16" i="40"/>
  <c r="AL17" i="40"/>
  <c r="AL18" i="40"/>
  <c r="AL19" i="40"/>
  <c r="AL20" i="40"/>
  <c r="AL21" i="40"/>
  <c r="AL22" i="40"/>
  <c r="AL23" i="40"/>
  <c r="AL24" i="40"/>
  <c r="AL25" i="40"/>
  <c r="AL26" i="40"/>
  <c r="AL27" i="40"/>
  <c r="AL28" i="40"/>
  <c r="AL29" i="40"/>
  <c r="AL30" i="40"/>
  <c r="AL31" i="40"/>
  <c r="AL32" i="40"/>
  <c r="AL33" i="40"/>
  <c r="AL10" i="40"/>
  <c r="AK11" i="40"/>
  <c r="AK12" i="40"/>
  <c r="AK13" i="40"/>
  <c r="AK14" i="40"/>
  <c r="AK15" i="40"/>
  <c r="AK16" i="40"/>
  <c r="AK17" i="40"/>
  <c r="AK18" i="40"/>
  <c r="AK19" i="40"/>
  <c r="AK20" i="40"/>
  <c r="AK21" i="40"/>
  <c r="AK22" i="40"/>
  <c r="AK23" i="40"/>
  <c r="AK24" i="40"/>
  <c r="AK25" i="40"/>
  <c r="AK26" i="40"/>
  <c r="AK27" i="40"/>
  <c r="AK28" i="40"/>
  <c r="AK29" i="40"/>
  <c r="AK30" i="40"/>
  <c r="AK31" i="40"/>
  <c r="AK32" i="40"/>
  <c r="AK33" i="40"/>
  <c r="AK10" i="40"/>
  <c r="AG34" i="40"/>
  <c r="J6" i="7" s="1"/>
  <c r="V6" i="7" s="1"/>
  <c r="AD34" i="40"/>
  <c r="AD35" i="40"/>
  <c r="AG35" i="40"/>
  <c r="AH35" i="40"/>
  <c r="AI35" i="40"/>
  <c r="AD36" i="40"/>
  <c r="AG36" i="40"/>
  <c r="AH36" i="40"/>
  <c r="AI36" i="40"/>
  <c r="AC35" i="40"/>
  <c r="AC36" i="40"/>
  <c r="AB36" i="40"/>
  <c r="AB35" i="40"/>
  <c r="Y35" i="40"/>
  <c r="Z35" i="40"/>
  <c r="AA35" i="40"/>
  <c r="Y36" i="40"/>
  <c r="Z36" i="40"/>
  <c r="AA36" i="40"/>
  <c r="X36" i="40"/>
  <c r="X35" i="40"/>
  <c r="W36" i="40"/>
  <c r="W35" i="40"/>
  <c r="H35" i="40"/>
  <c r="I35" i="40"/>
  <c r="J35" i="40"/>
  <c r="L35" i="40"/>
  <c r="H36" i="40"/>
  <c r="I36" i="40"/>
  <c r="J36" i="40"/>
  <c r="L36" i="40"/>
  <c r="AH34" i="40"/>
  <c r="K6" i="7" s="1"/>
  <c r="W6" i="7" s="1"/>
  <c r="AI34" i="40"/>
  <c r="Z30" i="48"/>
  <c r="Z31" i="48"/>
  <c r="Z32" i="48"/>
  <c r="Z33" i="48"/>
  <c r="Z34" i="48"/>
  <c r="Z35" i="48"/>
  <c r="Z36" i="48"/>
  <c r="Z37" i="48"/>
  <c r="Z38" i="48"/>
  <c r="Z39" i="48"/>
  <c r="Z40" i="48"/>
  <c r="Z41" i="48"/>
  <c r="Z42" i="48"/>
  <c r="Z43" i="48"/>
  <c r="Z44" i="48"/>
  <c r="Z45" i="48"/>
  <c r="Z46" i="48"/>
  <c r="Z47" i="48"/>
  <c r="Z48" i="48"/>
  <c r="Z49" i="48"/>
  <c r="Z50" i="48"/>
  <c r="Z51" i="48"/>
  <c r="Z52" i="48"/>
  <c r="Z53" i="48"/>
  <c r="Z54" i="48"/>
  <c r="Z29" i="48"/>
  <c r="AE11" i="40"/>
  <c r="AF11" i="40" s="1"/>
  <c r="AF10" i="40"/>
  <c r="AE10" i="40"/>
  <c r="Q27" i="48"/>
  <c r="W27" i="48"/>
  <c r="X27" i="48"/>
  <c r="R27" i="48"/>
  <c r="T27" i="48"/>
  <c r="S27" i="48"/>
  <c r="Y27" i="48"/>
  <c r="Z34" i="40"/>
  <c r="U10" i="40"/>
  <c r="U11" i="40"/>
  <c r="U12" i="40"/>
  <c r="U13" i="40"/>
  <c r="U14" i="40"/>
  <c r="V14" i="40"/>
  <c r="U15" i="40"/>
  <c r="V15" i="40"/>
  <c r="U16" i="40"/>
  <c r="U17" i="40"/>
  <c r="U18" i="40"/>
  <c r="U19" i="40"/>
  <c r="U20" i="40"/>
  <c r="U21" i="40"/>
  <c r="U22" i="40"/>
  <c r="V22" i="40"/>
  <c r="U23" i="40"/>
  <c r="V23" i="40"/>
  <c r="U24" i="40"/>
  <c r="V24" i="40"/>
  <c r="U25" i="40"/>
  <c r="U26" i="40"/>
  <c r="U27" i="40"/>
  <c r="U28" i="40"/>
  <c r="V28" i="40"/>
  <c r="U29" i="40"/>
  <c r="V29" i="40"/>
  <c r="U30" i="40"/>
  <c r="U31" i="40"/>
  <c r="U32" i="40"/>
  <c r="U33" i="40"/>
  <c r="T32" i="40"/>
  <c r="R11" i="40"/>
  <c r="S11" i="40"/>
  <c r="T11" i="40"/>
  <c r="R12" i="40"/>
  <c r="S12" i="40"/>
  <c r="T12" i="40"/>
  <c r="R13" i="40"/>
  <c r="S13" i="40"/>
  <c r="T13" i="40"/>
  <c r="R14" i="40"/>
  <c r="S14" i="40"/>
  <c r="T14" i="40"/>
  <c r="R15" i="40"/>
  <c r="S15" i="40"/>
  <c r="T15" i="40"/>
  <c r="R16" i="40"/>
  <c r="S16" i="40"/>
  <c r="T16" i="40"/>
  <c r="R17" i="40"/>
  <c r="V17" i="40" s="1"/>
  <c r="S17" i="40"/>
  <c r="T17" i="40"/>
  <c r="R18" i="40"/>
  <c r="S18" i="40"/>
  <c r="T18" i="40"/>
  <c r="R19" i="40"/>
  <c r="S19" i="40"/>
  <c r="T19" i="40"/>
  <c r="R20" i="40"/>
  <c r="S20" i="40"/>
  <c r="T20" i="40"/>
  <c r="R21" i="40"/>
  <c r="V21" i="40" s="1"/>
  <c r="S21" i="40"/>
  <c r="T21" i="40"/>
  <c r="R22" i="40"/>
  <c r="S22" i="40"/>
  <c r="T22" i="40"/>
  <c r="R23" i="40"/>
  <c r="S23" i="40"/>
  <c r="T23" i="40"/>
  <c r="R24" i="40"/>
  <c r="S24" i="40"/>
  <c r="T24" i="40"/>
  <c r="R25" i="40"/>
  <c r="S25" i="40"/>
  <c r="T25" i="40"/>
  <c r="R26" i="40"/>
  <c r="S26" i="40"/>
  <c r="T26" i="40"/>
  <c r="R27" i="40"/>
  <c r="S27" i="40"/>
  <c r="T27" i="40"/>
  <c r="R28" i="40"/>
  <c r="S28" i="40"/>
  <c r="T28" i="40"/>
  <c r="R29" i="40"/>
  <c r="S29" i="40"/>
  <c r="T29" i="40"/>
  <c r="R30" i="40"/>
  <c r="S30" i="40"/>
  <c r="T30" i="40"/>
  <c r="R31" i="40"/>
  <c r="V31" i="40" s="1"/>
  <c r="S31" i="40"/>
  <c r="T31" i="40"/>
  <c r="R32" i="40"/>
  <c r="S32" i="40"/>
  <c r="R33" i="40"/>
  <c r="S33" i="40"/>
  <c r="T33" i="40"/>
  <c r="T10" i="40"/>
  <c r="S10" i="40"/>
  <c r="S35" i="40" s="1"/>
  <c r="R10" i="40"/>
  <c r="M11" i="40"/>
  <c r="M10" i="40"/>
  <c r="CC27" i="78" l="1"/>
  <c r="CE27" i="78"/>
  <c r="CA27" i="78"/>
  <c r="CD27" i="78"/>
  <c r="AN29" i="78"/>
  <c r="AR28" i="78"/>
  <c r="AS28" i="78"/>
  <c r="CL28" i="78"/>
  <c r="CO28" i="78" s="1"/>
  <c r="CP28" i="78" s="1"/>
  <c r="BZ24" i="40"/>
  <c r="BY62" i="40"/>
  <c r="CE62" i="40" s="1"/>
  <c r="BZ62" i="40"/>
  <c r="BY48" i="40"/>
  <c r="CE48" i="40" s="1"/>
  <c r="BZ48" i="40"/>
  <c r="U34" i="40"/>
  <c r="BZ23" i="40"/>
  <c r="BD10" i="40"/>
  <c r="BE10" i="40" s="1"/>
  <c r="BF10" i="40" s="1"/>
  <c r="BY61" i="40"/>
  <c r="CE61" i="40" s="1"/>
  <c r="BZ61" i="40"/>
  <c r="BY47" i="40"/>
  <c r="CE47" i="40" s="1"/>
  <c r="BZ47" i="40"/>
  <c r="T34" i="40"/>
  <c r="V30" i="40"/>
  <c r="V16" i="40"/>
  <c r="U36" i="40"/>
  <c r="AR34" i="40"/>
  <c r="C48" i="40" s="1"/>
  <c r="BZ22" i="40"/>
  <c r="BY60" i="40"/>
  <c r="CE60" i="40" s="1"/>
  <c r="BZ60" i="40"/>
  <c r="BY46" i="40"/>
  <c r="CE46" i="40" s="1"/>
  <c r="BZ46" i="40"/>
  <c r="U35" i="40"/>
  <c r="BZ21" i="40"/>
  <c r="BY59" i="40"/>
  <c r="CE59" i="40" s="1"/>
  <c r="BZ59" i="40"/>
  <c r="BY45" i="40"/>
  <c r="CE45" i="40" s="1"/>
  <c r="BZ45" i="40"/>
  <c r="BZ20" i="40"/>
  <c r="BY58" i="40"/>
  <c r="CE58" i="40" s="1"/>
  <c r="BZ58" i="40"/>
  <c r="BY44" i="40"/>
  <c r="CE44" i="40" s="1"/>
  <c r="BZ44" i="40"/>
  <c r="H6" i="7"/>
  <c r="T6" i="7" s="1"/>
  <c r="BZ33" i="40"/>
  <c r="BZ19" i="40"/>
  <c r="BY57" i="40"/>
  <c r="CE57" i="40" s="1"/>
  <c r="BZ57" i="40"/>
  <c r="BY43" i="40"/>
  <c r="CE43" i="40" s="1"/>
  <c r="BZ43" i="40"/>
  <c r="BZ32" i="40"/>
  <c r="BZ18" i="40"/>
  <c r="BY56" i="40"/>
  <c r="CE56" i="40" s="1"/>
  <c r="BZ56" i="40"/>
  <c r="BY42" i="40"/>
  <c r="CE42" i="40" s="1"/>
  <c r="BZ42" i="40"/>
  <c r="BZ31" i="40"/>
  <c r="BZ17" i="40"/>
  <c r="BY55" i="40"/>
  <c r="CE55" i="40" s="1"/>
  <c r="BZ55" i="40"/>
  <c r="R35" i="40"/>
  <c r="BZ30" i="40"/>
  <c r="BZ16" i="40"/>
  <c r="BY54" i="40"/>
  <c r="CE54" i="40" s="1"/>
  <c r="BZ54" i="40"/>
  <c r="R36" i="40"/>
  <c r="BZ29" i="40"/>
  <c r="BZ15" i="40"/>
  <c r="BZ53" i="40"/>
  <c r="BY53" i="40"/>
  <c r="CE53" i="40" s="1"/>
  <c r="BZ28" i="40"/>
  <c r="BZ14" i="40"/>
  <c r="BZ52" i="40"/>
  <c r="BY52" i="40"/>
  <c r="CE52" i="40" s="1"/>
  <c r="V27" i="40"/>
  <c r="V20" i="40"/>
  <c r="V13" i="40"/>
  <c r="S36" i="40"/>
  <c r="BZ27" i="40"/>
  <c r="BZ13" i="40"/>
  <c r="BZ51" i="40"/>
  <c r="BY51" i="40"/>
  <c r="CE51" i="40" s="1"/>
  <c r="V32" i="40"/>
  <c r="V25" i="40"/>
  <c r="V18" i="40"/>
  <c r="V11" i="40"/>
  <c r="T36" i="40"/>
  <c r="BZ26" i="40"/>
  <c r="BZ12" i="40"/>
  <c r="BZ50" i="40"/>
  <c r="BY50" i="40"/>
  <c r="CE50" i="40" s="1"/>
  <c r="V10" i="40"/>
  <c r="V33" i="40"/>
  <c r="V26" i="40"/>
  <c r="V19" i="40"/>
  <c r="V12" i="40"/>
  <c r="T35" i="40"/>
  <c r="BZ25" i="40"/>
  <c r="BZ11" i="40"/>
  <c r="BZ63" i="40"/>
  <c r="BY63" i="40"/>
  <c r="CE63" i="40" s="1"/>
  <c r="BZ49" i="40"/>
  <c r="BY49" i="40"/>
  <c r="CE49" i="40" s="1"/>
  <c r="BZ10" i="40"/>
  <c r="AQ34" i="40"/>
  <c r="C47" i="40" s="1"/>
  <c r="C13" i="5" s="1"/>
  <c r="AV10" i="40"/>
  <c r="M12" i="40"/>
  <c r="F27" i="40" a="1"/>
  <c r="E14" i="40" a="1"/>
  <c r="G29" i="40" a="1"/>
  <c r="G18" i="40" a="1"/>
  <c r="E32" i="40" a="1"/>
  <c r="G25" i="40" a="1"/>
  <c r="G24" i="40" a="1"/>
  <c r="G21" i="40" a="1"/>
  <c r="G12" i="40" a="1"/>
  <c r="F17" i="40" a="1"/>
  <c r="F16" i="40" a="1"/>
  <c r="G31" i="40" a="1"/>
  <c r="G19" i="40" a="1"/>
  <c r="F23" i="40" a="1"/>
  <c r="E22" i="40" a="1"/>
  <c r="F24" i="40" a="1"/>
  <c r="F30" i="40" a="1"/>
  <c r="F31" i="40" a="1"/>
  <c r="F11" i="40" a="1"/>
  <c r="F21" i="40" a="1"/>
  <c r="F14" i="40" a="1"/>
  <c r="F26" i="40" a="1"/>
  <c r="E12" i="40" a="1"/>
  <c r="F33" i="40" a="1"/>
  <c r="E21" i="40" a="1"/>
  <c r="G10" i="40" a="1"/>
  <c r="F19" i="40" a="1"/>
  <c r="G13" i="40" a="1"/>
  <c r="G11" i="40" a="1"/>
  <c r="E19" i="40" a="1"/>
  <c r="G28" i="40" a="1"/>
  <c r="E27" i="40" a="1"/>
  <c r="G16" i="40" a="1"/>
  <c r="G14" i="40" a="1"/>
  <c r="E10" i="40" a="1"/>
  <c r="F10" i="40" a="1"/>
  <c r="F25" i="40" a="1"/>
  <c r="G26" i="40" a="1"/>
  <c r="G27" i="40" a="1"/>
  <c r="E16" i="40" a="1"/>
  <c r="F18" i="40" a="1"/>
  <c r="E11" i="40" a="1"/>
  <c r="G20" i="40" a="1"/>
  <c r="F13" i="40" a="1"/>
  <c r="E23" i="40" a="1"/>
  <c r="E28" i="40" a="1"/>
  <c r="E17" i="40" a="1"/>
  <c r="G15" i="40" a="1"/>
  <c r="E18" i="40" a="1"/>
  <c r="F20" i="40" a="1"/>
  <c r="E30" i="40" a="1"/>
  <c r="G23" i="40" a="1"/>
  <c r="E31" i="40" a="1"/>
  <c r="G33" i="40" a="1"/>
  <c r="F28" i="40" a="1"/>
  <c r="F15" i="40" a="1"/>
  <c r="G30" i="40" a="1"/>
  <c r="E20" i="40" a="1"/>
  <c r="E33" i="40" a="1"/>
  <c r="G32" i="40" a="1"/>
  <c r="E24" i="40" a="1"/>
  <c r="G22" i="40" a="1"/>
  <c r="F32" i="40" a="1"/>
  <c r="E26" i="40" a="1"/>
  <c r="E29" i="40" a="1"/>
  <c r="E13" i="40" a="1"/>
  <c r="G17" i="40" a="1"/>
  <c r="F29" i="40" a="1"/>
  <c r="F12" i="40" a="1"/>
  <c r="E15" i="40" a="1"/>
  <c r="E25" i="40" a="1"/>
  <c r="F22" i="40" a="1"/>
  <c r="D33" i="40" a="1"/>
  <c r="D24" i="40" a="1"/>
  <c r="D27" i="40" a="1"/>
  <c r="D22" i="40" a="1"/>
  <c r="D14" i="40" a="1"/>
  <c r="D19" i="40" a="1"/>
  <c r="D28" i="40" a="1"/>
  <c r="D21" i="40" a="1"/>
  <c r="D30" i="40" a="1"/>
  <c r="D18" i="40" a="1"/>
  <c r="D25" i="40" a="1"/>
  <c r="D32" i="40" a="1"/>
  <c r="D20" i="40" a="1"/>
  <c r="D12" i="40" a="1"/>
  <c r="D16" i="40" a="1"/>
  <c r="D29" i="40" a="1"/>
  <c r="D17" i="40" a="1"/>
  <c r="D26" i="40" a="1"/>
  <c r="D15" i="40" a="1"/>
  <c r="D23" i="40" a="1"/>
  <c r="D13" i="40" a="1"/>
  <c r="D31" i="40" a="1"/>
  <c r="CC28" i="78" l="1"/>
  <c r="CE28" i="78"/>
  <c r="CD28" i="78"/>
  <c r="CA28" i="78"/>
  <c r="CL29" i="78"/>
  <c r="CO29" i="78" s="1"/>
  <c r="CP29" i="78" s="1"/>
  <c r="AR29" i="78"/>
  <c r="AS29" i="78"/>
  <c r="AN30" i="78"/>
  <c r="BX41" i="40"/>
  <c r="CD41" i="40" s="1"/>
  <c r="BW41" i="40"/>
  <c r="CC41" i="40" s="1"/>
  <c r="CB10" i="40"/>
  <c r="V34" i="40"/>
  <c r="V36" i="40"/>
  <c r="V35" i="40"/>
  <c r="CA41" i="40"/>
  <c r="CB41" i="40"/>
  <c r="BC10" i="40"/>
  <c r="G31" i="40"/>
  <c r="E27" i="40"/>
  <c r="F17" i="40"/>
  <c r="G12" i="40"/>
  <c r="E15" i="40"/>
  <c r="E20" i="40"/>
  <c r="G17" i="40"/>
  <c r="E13" i="40"/>
  <c r="G33" i="40"/>
  <c r="F31" i="40"/>
  <c r="G26" i="40"/>
  <c r="F24" i="40"/>
  <c r="E22" i="40"/>
  <c r="G19" i="40"/>
  <c r="F33" i="40"/>
  <c r="G28" i="40"/>
  <c r="F26" i="40"/>
  <c r="G21" i="40"/>
  <c r="F12" i="40"/>
  <c r="F29" i="40"/>
  <c r="F15" i="40"/>
  <c r="E29" i="40"/>
  <c r="E31" i="40"/>
  <c r="E24" i="40"/>
  <c r="F19" i="40"/>
  <c r="E17" i="40"/>
  <c r="G14" i="40"/>
  <c r="G16" i="40"/>
  <c r="E12" i="40"/>
  <c r="E19" i="40"/>
  <c r="F14" i="40"/>
  <c r="G24" i="40"/>
  <c r="E33" i="40"/>
  <c r="G30" i="40"/>
  <c r="F28" i="40"/>
  <c r="E26" i="40"/>
  <c r="G23" i="40"/>
  <c r="G32" i="40"/>
  <c r="F30" i="40"/>
  <c r="E28" i="40"/>
  <c r="F23" i="40"/>
  <c r="E21" i="40"/>
  <c r="F16" i="40"/>
  <c r="G11" i="40"/>
  <c r="F21" i="40"/>
  <c r="G25" i="40"/>
  <c r="G18" i="40"/>
  <c r="E14" i="40"/>
  <c r="F22" i="40"/>
  <c r="F32" i="40"/>
  <c r="E30" i="40"/>
  <c r="G27" i="40"/>
  <c r="F25" i="40"/>
  <c r="E23" i="40"/>
  <c r="G20" i="40"/>
  <c r="F18" i="40"/>
  <c r="E16" i="40"/>
  <c r="G13" i="40"/>
  <c r="F11" i="40"/>
  <c r="E32" i="40"/>
  <c r="G29" i="40"/>
  <c r="F27" i="40"/>
  <c r="E25" i="40"/>
  <c r="G22" i="40"/>
  <c r="F20" i="40"/>
  <c r="E18" i="40"/>
  <c r="G15" i="40"/>
  <c r="F13" i="40"/>
  <c r="E11" i="40"/>
  <c r="G10" i="40"/>
  <c r="E10" i="40"/>
  <c r="F10" i="40"/>
  <c r="D24" i="40"/>
  <c r="D23" i="40"/>
  <c r="D16" i="40"/>
  <c r="D29" i="40"/>
  <c r="D22" i="40"/>
  <c r="D15" i="40"/>
  <c r="D31" i="40"/>
  <c r="D17" i="40"/>
  <c r="D30" i="40"/>
  <c r="D28" i="40"/>
  <c r="D21" i="40"/>
  <c r="D14" i="40"/>
  <c r="D20" i="40"/>
  <c r="D13" i="40"/>
  <c r="D33" i="40"/>
  <c r="D26" i="40"/>
  <c r="D19" i="40"/>
  <c r="D12" i="40"/>
  <c r="D27" i="40"/>
  <c r="D32" i="40"/>
  <c r="D25" i="40"/>
  <c r="D18" i="40"/>
  <c r="CA29" i="78" l="1"/>
  <c r="CD29" i="78"/>
  <c r="CC29" i="78"/>
  <c r="CE29" i="78"/>
  <c r="CL30" i="78"/>
  <c r="CO30" i="78" s="1"/>
  <c r="CP30" i="78" s="1"/>
  <c r="AR30" i="78"/>
  <c r="AS30" i="78"/>
  <c r="AN31" i="78"/>
  <c r="BJ10" i="40"/>
  <c r="BK10" i="40" s="1"/>
  <c r="F36" i="40"/>
  <c r="F35" i="40"/>
  <c r="D36" i="40"/>
  <c r="D35" i="40"/>
  <c r="E36" i="40"/>
  <c r="E35" i="40"/>
  <c r="G36" i="40"/>
  <c r="G35" i="40"/>
  <c r="E34" i="40"/>
  <c r="F34" i="40"/>
  <c r="G34" i="40"/>
  <c r="CC30" i="78" l="1"/>
  <c r="CE30" i="78"/>
  <c r="CA30" i="78"/>
  <c r="CD30" i="78"/>
  <c r="AN32" i="78"/>
  <c r="AR31" i="78"/>
  <c r="AS31" i="78"/>
  <c r="T34" i="55"/>
  <c r="AW34" i="55"/>
  <c r="E14" i="55" a="1"/>
  <c r="CA31" i="78" l="1"/>
  <c r="CD31" i="78"/>
  <c r="CC31" i="78"/>
  <c r="CE31" i="78"/>
  <c r="AR32" i="78"/>
  <c r="AS32" i="78"/>
  <c r="AN33" i="78"/>
  <c r="AM34" i="78"/>
  <c r="E14" i="55"/>
  <c r="CA32" i="78" l="1"/>
  <c r="CD32" i="78"/>
  <c r="CE32" i="78"/>
  <c r="CC32" i="78"/>
  <c r="AS33" i="78"/>
  <c r="AR33" i="78"/>
  <c r="AN34" i="78"/>
  <c r="C46" i="78" s="1"/>
  <c r="D49" i="78" s="1"/>
  <c r="AZ18" i="55"/>
  <c r="BC18" i="55" s="1"/>
  <c r="BD18" i="55" s="1"/>
  <c r="AZ13" i="55"/>
  <c r="BC13" i="55" s="1"/>
  <c r="BD13" i="55" s="1"/>
  <c r="AZ14" i="55"/>
  <c r="BC14" i="55" s="1"/>
  <c r="BD14" i="55" s="1"/>
  <c r="AZ15" i="55"/>
  <c r="BC15" i="55" s="1"/>
  <c r="BD15" i="55" s="1"/>
  <c r="AZ16" i="55"/>
  <c r="BC16" i="55" s="1"/>
  <c r="BD16" i="55" s="1"/>
  <c r="AZ19" i="55"/>
  <c r="BC19" i="55" s="1"/>
  <c r="BD19" i="55" s="1"/>
  <c r="AZ20" i="55"/>
  <c r="BC20" i="55" s="1"/>
  <c r="BD20" i="55" s="1"/>
  <c r="AZ21" i="55"/>
  <c r="AZ22" i="55"/>
  <c r="BC22" i="55" s="1"/>
  <c r="BD22" i="55" s="1"/>
  <c r="AZ23" i="55"/>
  <c r="BC23" i="55" s="1"/>
  <c r="BD23" i="55" s="1"/>
  <c r="AZ24" i="55"/>
  <c r="BC24" i="55" s="1"/>
  <c r="BD24" i="55" s="1"/>
  <c r="AZ25" i="55"/>
  <c r="BC25" i="55" s="1"/>
  <c r="BD25" i="55" s="1"/>
  <c r="AZ26" i="55"/>
  <c r="BC26" i="55" s="1"/>
  <c r="BD26" i="55" s="1"/>
  <c r="AZ27" i="55"/>
  <c r="BC27" i="55" s="1"/>
  <c r="BD27" i="55" s="1"/>
  <c r="AZ28" i="55"/>
  <c r="BC28" i="55" s="1"/>
  <c r="BD28" i="55" s="1"/>
  <c r="AZ29" i="55"/>
  <c r="BC29" i="55" s="1"/>
  <c r="BD29" i="55" s="1"/>
  <c r="AZ30" i="55"/>
  <c r="BC30" i="55" s="1"/>
  <c r="BD30" i="55" s="1"/>
  <c r="AZ32" i="55"/>
  <c r="AZ33" i="55"/>
  <c r="BC33" i="55" s="1"/>
  <c r="AZ11" i="55"/>
  <c r="BC11" i="55" s="1"/>
  <c r="BD11" i="55" s="1"/>
  <c r="AZ12" i="55"/>
  <c r="AZ17" i="55"/>
  <c r="BC17" i="55" s="1"/>
  <c r="BD17" i="55" s="1"/>
  <c r="CD33" i="78" l="1"/>
  <c r="CA33" i="78"/>
  <c r="CC33" i="78"/>
  <c r="CE33" i="78"/>
  <c r="AR34" i="78"/>
  <c r="AS34" i="78"/>
  <c r="C50" i="78" s="1"/>
  <c r="BE17" i="55"/>
  <c r="BV17" i="55"/>
  <c r="BW17" i="55"/>
  <c r="BE16" i="55"/>
  <c r="BV16" i="55"/>
  <c r="BW16" i="55"/>
  <c r="BE25" i="55"/>
  <c r="BW25" i="55"/>
  <c r="BV25" i="55"/>
  <c r="BE24" i="55"/>
  <c r="BV24" i="55"/>
  <c r="BW24" i="55"/>
  <c r="BE19" i="55"/>
  <c r="BV19" i="55"/>
  <c r="BW19" i="55"/>
  <c r="BE30" i="55"/>
  <c r="BV30" i="55"/>
  <c r="BW30" i="55"/>
  <c r="BE14" i="55"/>
  <c r="BV14" i="55"/>
  <c r="BW14" i="55"/>
  <c r="BE27" i="55"/>
  <c r="BV27" i="55"/>
  <c r="BW27" i="55"/>
  <c r="BE23" i="55"/>
  <c r="BW23" i="55"/>
  <c r="BV23" i="55"/>
  <c r="BE20" i="55"/>
  <c r="BW20" i="55"/>
  <c r="BV20" i="55"/>
  <c r="BE15" i="55"/>
  <c r="BV15" i="55"/>
  <c r="BW15" i="55"/>
  <c r="BE29" i="55"/>
  <c r="BV29" i="55"/>
  <c r="BW29" i="55"/>
  <c r="BE13" i="55"/>
  <c r="BV13" i="55"/>
  <c r="BW13" i="55"/>
  <c r="BE26" i="55"/>
  <c r="BV26" i="55"/>
  <c r="BW26" i="55"/>
  <c r="BE22" i="55"/>
  <c r="BW22" i="55"/>
  <c r="BV22" i="55"/>
  <c r="BE11" i="55"/>
  <c r="BW11" i="55"/>
  <c r="BV11" i="55"/>
  <c r="BD33" i="55"/>
  <c r="BE28" i="55"/>
  <c r="BV28" i="55"/>
  <c r="BW28" i="55"/>
  <c r="BE18" i="55"/>
  <c r="BV18" i="55"/>
  <c r="BW18" i="55"/>
  <c r="BG34" i="55"/>
  <c r="BC21" i="55"/>
  <c r="AY34" i="55"/>
  <c r="AZ37" i="55" s="1"/>
  <c r="BC32" i="55"/>
  <c r="BD32" i="55" s="1"/>
  <c r="BB32" i="55"/>
  <c r="BL16" i="55"/>
  <c r="BB17" i="55"/>
  <c r="BI17" i="55" s="1"/>
  <c r="BB18" i="55"/>
  <c r="BB19" i="55"/>
  <c r="BB20" i="55"/>
  <c r="BB21" i="55"/>
  <c r="BB22" i="55"/>
  <c r="BI22" i="55" s="1"/>
  <c r="BB23" i="55"/>
  <c r="BI23" i="55" s="1"/>
  <c r="BB24" i="55"/>
  <c r="BI24" i="55" s="1"/>
  <c r="BB25" i="55"/>
  <c r="BB26" i="55"/>
  <c r="BB27" i="55"/>
  <c r="BB28" i="55"/>
  <c r="BB29" i="55"/>
  <c r="BB30" i="55"/>
  <c r="BI30" i="55" s="1"/>
  <c r="BB33" i="55"/>
  <c r="BB34" i="40"/>
  <c r="C31" i="55"/>
  <c r="C32" i="55"/>
  <c r="C33" i="55"/>
  <c r="AX11" i="40"/>
  <c r="AX12" i="40"/>
  <c r="AX13" i="40"/>
  <c r="AX14" i="40"/>
  <c r="AX15" i="40"/>
  <c r="AX16" i="40"/>
  <c r="AX17" i="40"/>
  <c r="AX18" i="40"/>
  <c r="AX19" i="40"/>
  <c r="AX20" i="40"/>
  <c r="AX21" i="40"/>
  <c r="AX22" i="40"/>
  <c r="AX23" i="40"/>
  <c r="AX24" i="40"/>
  <c r="AX25" i="40"/>
  <c r="AX26" i="40"/>
  <c r="AX27" i="40"/>
  <c r="AX28" i="40"/>
  <c r="AX29" i="40"/>
  <c r="AX30" i="40"/>
  <c r="AX31" i="40"/>
  <c r="AX32" i="40"/>
  <c r="AX33" i="40"/>
  <c r="AW11" i="40"/>
  <c r="AW12" i="40"/>
  <c r="AW13" i="40"/>
  <c r="AW14" i="40"/>
  <c r="AW15" i="40"/>
  <c r="AW16" i="40"/>
  <c r="AW17" i="40"/>
  <c r="AW18" i="40"/>
  <c r="AW19" i="40"/>
  <c r="AW20" i="40"/>
  <c r="AW21" i="40"/>
  <c r="AW22" i="40"/>
  <c r="AW23" i="40"/>
  <c r="AW24" i="40"/>
  <c r="AW25" i="40"/>
  <c r="AW26" i="40"/>
  <c r="AW27" i="40"/>
  <c r="AW28" i="40"/>
  <c r="AW29" i="40"/>
  <c r="AW30" i="40"/>
  <c r="AW31" i="40"/>
  <c r="AW32" i="40"/>
  <c r="AW33" i="40"/>
  <c r="W5" i="62"/>
  <c r="V5" i="62"/>
  <c r="U5" i="62"/>
  <c r="T5" i="62"/>
  <c r="S5" i="62"/>
  <c r="R5" i="62"/>
  <c r="Q5" i="62"/>
  <c r="P5" i="62"/>
  <c r="O5" i="62"/>
  <c r="N5" i="62"/>
  <c r="M5" i="62"/>
  <c r="L5" i="62"/>
  <c r="K5" i="62"/>
  <c r="J7" i="62"/>
  <c r="I7" i="62"/>
  <c r="H7" i="62"/>
  <c r="G7" i="62"/>
  <c r="F7" i="62"/>
  <c r="E7" i="62"/>
  <c r="D7" i="62"/>
  <c r="C7" i="62"/>
  <c r="E32" i="55" a="1"/>
  <c r="E31" i="55" a="1"/>
  <c r="F32" i="55" a="1"/>
  <c r="E33" i="55" a="1"/>
  <c r="D31" i="55" a="1"/>
  <c r="G32" i="55" a="1"/>
  <c r="F31" i="55" a="1"/>
  <c r="D33" i="55" a="1"/>
  <c r="F33" i="55" a="1"/>
  <c r="G31" i="55" a="1"/>
  <c r="D32" i="55" a="1"/>
  <c r="C49" i="78" l="1"/>
  <c r="D50" i="78" s="1"/>
  <c r="BJ24" i="55"/>
  <c r="CB24" i="55" s="1"/>
  <c r="CE24" i="55" s="1"/>
  <c r="BZ24" i="55"/>
  <c r="CD24" i="55" s="1"/>
  <c r="BJ23" i="55"/>
  <c r="CB23" i="55" s="1"/>
  <c r="CE23" i="55" s="1"/>
  <c r="BZ23" i="55"/>
  <c r="CD23" i="55" s="1"/>
  <c r="AX34" i="40"/>
  <c r="AK6" i="7" s="1"/>
  <c r="BJ22" i="55"/>
  <c r="CB22" i="55" s="1"/>
  <c r="CE22" i="55" s="1"/>
  <c r="BZ22" i="55"/>
  <c r="CD22" i="55" s="1"/>
  <c r="BI20" i="55"/>
  <c r="BI19" i="55"/>
  <c r="BI18" i="55"/>
  <c r="BV33" i="55"/>
  <c r="BW33" i="55"/>
  <c r="BI33" i="55"/>
  <c r="BJ17" i="55"/>
  <c r="CB17" i="55" s="1"/>
  <c r="CE17" i="55" s="1"/>
  <c r="BZ17" i="55"/>
  <c r="CD17" i="55" s="1"/>
  <c r="BE33" i="55"/>
  <c r="BJ30" i="55"/>
  <c r="CB30" i="55" s="1"/>
  <c r="CE30" i="55" s="1"/>
  <c r="BZ30" i="55"/>
  <c r="CD30" i="55" s="1"/>
  <c r="BI29" i="55"/>
  <c r="BI28" i="55"/>
  <c r="BV32" i="55"/>
  <c r="BW32" i="55"/>
  <c r="BI27" i="55"/>
  <c r="BI26" i="55"/>
  <c r="BI25" i="55"/>
  <c r="AO7" i="7"/>
  <c r="AR7" i="7" s="1"/>
  <c r="BX34" i="55"/>
  <c r="BY34" i="55"/>
  <c r="BE32" i="55"/>
  <c r="BD21" i="55"/>
  <c r="AU32" i="55"/>
  <c r="AZ34" i="55"/>
  <c r="AM7" i="7" s="1"/>
  <c r="AU33" i="55"/>
  <c r="D33" i="55"/>
  <c r="D31" i="55"/>
  <c r="E32" i="55"/>
  <c r="G31" i="55"/>
  <c r="F33" i="55"/>
  <c r="E33" i="55"/>
  <c r="F31" i="55"/>
  <c r="D32" i="55"/>
  <c r="E31" i="55"/>
  <c r="F32" i="55"/>
  <c r="G32" i="55"/>
  <c r="BJ28" i="55" l="1"/>
  <c r="CB28" i="55" s="1"/>
  <c r="CE28" i="55" s="1"/>
  <c r="BZ28" i="55"/>
  <c r="CD28" i="55" s="1"/>
  <c r="BJ29" i="55"/>
  <c r="CB29" i="55" s="1"/>
  <c r="CE29" i="55" s="1"/>
  <c r="BZ29" i="55"/>
  <c r="CD29" i="55" s="1"/>
  <c r="BJ18" i="55"/>
  <c r="CB18" i="55" s="1"/>
  <c r="CE18" i="55" s="1"/>
  <c r="BZ18" i="55"/>
  <c r="CD18" i="55" s="1"/>
  <c r="BJ33" i="55"/>
  <c r="CB33" i="55" s="1"/>
  <c r="CE33" i="55" s="1"/>
  <c r="BZ33" i="55"/>
  <c r="CD33" i="55" s="1"/>
  <c r="BJ25" i="55"/>
  <c r="CB25" i="55" s="1"/>
  <c r="CE25" i="55" s="1"/>
  <c r="BZ25" i="55"/>
  <c r="CD25" i="55" s="1"/>
  <c r="BJ27" i="55"/>
  <c r="CB27" i="55" s="1"/>
  <c r="CE27" i="55" s="1"/>
  <c r="BZ27" i="55"/>
  <c r="CD27" i="55" s="1"/>
  <c r="BE21" i="55"/>
  <c r="BI21" i="55" s="1"/>
  <c r="BW21" i="55"/>
  <c r="BV21" i="55"/>
  <c r="BJ26" i="55"/>
  <c r="CB26" i="55" s="1"/>
  <c r="CE26" i="55" s="1"/>
  <c r="BZ26" i="55"/>
  <c r="CD26" i="55" s="1"/>
  <c r="BJ19" i="55"/>
  <c r="CB19" i="55" s="1"/>
  <c r="CE19" i="55" s="1"/>
  <c r="BZ19" i="55"/>
  <c r="CD19" i="55" s="1"/>
  <c r="BJ20" i="55"/>
  <c r="CB20" i="55" s="1"/>
  <c r="CE20" i="55" s="1"/>
  <c r="BZ20" i="55"/>
  <c r="CD20" i="55" s="1"/>
  <c r="BI32" i="55"/>
  <c r="BZ32" i="55" s="1"/>
  <c r="CD32" i="55" s="1"/>
  <c r="BJ21" i="55" l="1"/>
  <c r="CB21" i="55" s="1"/>
  <c r="CE21" i="55" s="1"/>
  <c r="BZ21" i="55"/>
  <c r="CD21" i="55" s="1"/>
  <c r="BJ32" i="55"/>
  <c r="CB32" i="55" s="1"/>
  <c r="CE32" i="55" s="1"/>
  <c r="CA16" i="55"/>
  <c r="AU30" i="55"/>
  <c r="CG22" i="55" l="1"/>
  <c r="D63" i="55"/>
  <c r="AU24" i="55"/>
  <c r="AU25" i="55"/>
  <c r="AU26" i="55"/>
  <c r="AU27" i="55"/>
  <c r="AU28" i="55"/>
  <c r="AU29" i="55"/>
  <c r="F64" i="55"/>
  <c r="E64" i="55"/>
  <c r="E63" i="55"/>
  <c r="F62" i="55"/>
  <c r="E62" i="55"/>
  <c r="F61" i="55"/>
  <c r="E61" i="55"/>
  <c r="F60" i="55"/>
  <c r="E60" i="55"/>
  <c r="F59" i="55"/>
  <c r="E59" i="55"/>
  <c r="D64" i="55"/>
  <c r="D62" i="55"/>
  <c r="D61" i="55"/>
  <c r="D60" i="55"/>
  <c r="D59" i="55"/>
  <c r="D66" i="55"/>
  <c r="D65" i="55"/>
  <c r="C64" i="55"/>
  <c r="C62" i="55"/>
  <c r="C61" i="55"/>
  <c r="C60" i="55"/>
  <c r="C59" i="55"/>
  <c r="C66" i="55"/>
  <c r="C65" i="55"/>
  <c r="AM34" i="55"/>
  <c r="E66" i="55"/>
  <c r="E65" i="55"/>
  <c r="S34" i="55"/>
  <c r="R34" i="55"/>
  <c r="C44" i="55"/>
  <c r="C43" i="55"/>
  <c r="G7" i="7" s="1"/>
  <c r="S7" i="7" s="1"/>
  <c r="C42" i="55"/>
  <c r="CI30" i="55"/>
  <c r="CH30" i="55"/>
  <c r="CG30" i="55"/>
  <c r="C30" i="55"/>
  <c r="CI29" i="55"/>
  <c r="CH29" i="55"/>
  <c r="CG29" i="55"/>
  <c r="C29" i="55"/>
  <c r="CI28" i="55"/>
  <c r="CH28" i="55"/>
  <c r="CG28" i="55"/>
  <c r="C28" i="55"/>
  <c r="CI27" i="55"/>
  <c r="CH27" i="55"/>
  <c r="CG27" i="55"/>
  <c r="C27" i="55"/>
  <c r="CI26" i="55"/>
  <c r="CH26" i="55"/>
  <c r="CG26" i="55"/>
  <c r="C26" i="55"/>
  <c r="CI25" i="55"/>
  <c r="CH25" i="55"/>
  <c r="CG25" i="55"/>
  <c r="C25" i="55"/>
  <c r="CI24" i="55"/>
  <c r="CH24" i="55"/>
  <c r="CG24" i="55"/>
  <c r="C24" i="55"/>
  <c r="CN23" i="55"/>
  <c r="CI23" i="55"/>
  <c r="CH23" i="55"/>
  <c r="CG23" i="55"/>
  <c r="C23" i="55"/>
  <c r="CI22" i="55"/>
  <c r="CH22" i="55"/>
  <c r="C22" i="55"/>
  <c r="CI21" i="55"/>
  <c r="CH21" i="55"/>
  <c r="CG21" i="55"/>
  <c r="C21" i="55"/>
  <c r="CI20" i="55"/>
  <c r="CH20" i="55"/>
  <c r="CG20" i="55"/>
  <c r="C20" i="55"/>
  <c r="CI19" i="55"/>
  <c r="CH19" i="55"/>
  <c r="C19" i="55"/>
  <c r="CI18" i="55"/>
  <c r="CH18" i="55"/>
  <c r="C18" i="55"/>
  <c r="CN17" i="55"/>
  <c r="CI17" i="55"/>
  <c r="CH17" i="55"/>
  <c r="CG17" i="55"/>
  <c r="C17" i="55"/>
  <c r="CI16" i="55"/>
  <c r="CH16" i="55"/>
  <c r="CG16" i="55"/>
  <c r="BQ16" i="55"/>
  <c r="C16" i="55"/>
  <c r="CI15" i="55"/>
  <c r="CH15" i="55"/>
  <c r="CG15" i="55"/>
  <c r="BQ15" i="55"/>
  <c r="CM15" i="55"/>
  <c r="C15" i="55"/>
  <c r="CI14" i="55"/>
  <c r="CH14" i="55"/>
  <c r="CG14" i="55"/>
  <c r="BQ14" i="55"/>
  <c r="C14" i="55"/>
  <c r="CI13" i="55"/>
  <c r="CH13" i="55"/>
  <c r="CG13" i="55"/>
  <c r="BN13" i="55"/>
  <c r="C13" i="55"/>
  <c r="CI12" i="55"/>
  <c r="CH12" i="55"/>
  <c r="CG12" i="55"/>
  <c r="BN12" i="55"/>
  <c r="C12" i="55"/>
  <c r="CI11" i="55"/>
  <c r="CH11" i="55"/>
  <c r="CG11" i="55"/>
  <c r="C11" i="55"/>
  <c r="CI10" i="55"/>
  <c r="CH10" i="55"/>
  <c r="CG10" i="55"/>
  <c r="C10" i="55"/>
  <c r="C27" i="5"/>
  <c r="M13" i="40"/>
  <c r="M14" i="40"/>
  <c r="M15" i="40"/>
  <c r="M16" i="40"/>
  <c r="M17" i="40"/>
  <c r="M18" i="40"/>
  <c r="M19" i="40"/>
  <c r="M20" i="40"/>
  <c r="M21" i="40"/>
  <c r="M22" i="40"/>
  <c r="M23" i="40"/>
  <c r="M24" i="40"/>
  <c r="M25" i="40"/>
  <c r="M26" i="40"/>
  <c r="M27" i="40"/>
  <c r="M28" i="40"/>
  <c r="M29" i="40"/>
  <c r="M30" i="40"/>
  <c r="M32" i="40"/>
  <c r="M33" i="40"/>
  <c r="E17" i="55" a="1"/>
  <c r="G16" i="55" a="1"/>
  <c r="G13" i="55" a="1"/>
  <c r="D23" i="55" a="1"/>
  <c r="E19" i="55" a="1"/>
  <c r="D25" i="55" a="1"/>
  <c r="F18" i="55" a="1"/>
  <c r="G19" i="55" a="1"/>
  <c r="G23" i="55" a="1"/>
  <c r="E13" i="55" a="1"/>
  <c r="E26" i="55" a="1"/>
  <c r="F15" i="55" a="1"/>
  <c r="G21" i="55" a="1"/>
  <c r="F30" i="55" a="1"/>
  <c r="E27" i="55" a="1"/>
  <c r="D16" i="55" a="1"/>
  <c r="D11" i="55" a="1"/>
  <c r="E11" i="55" a="1"/>
  <c r="F25" i="55" a="1"/>
  <c r="D26" i="55" a="1"/>
  <c r="G17" i="55" a="1"/>
  <c r="E29" i="55" a="1"/>
  <c r="D18" i="55" a="1"/>
  <c r="E12" i="55" a="1"/>
  <c r="F21" i="55" a="1"/>
  <c r="G10" i="55" a="1"/>
  <c r="D29" i="55" a="1"/>
  <c r="F20" i="55" a="1"/>
  <c r="D19" i="55" a="1"/>
  <c r="F14" i="55" a="1"/>
  <c r="G28" i="55" a="1"/>
  <c r="E20" i="55" a="1"/>
  <c r="E21" i="55" a="1"/>
  <c r="G29" i="55" a="1"/>
  <c r="F27" i="55" a="1"/>
  <c r="D13" i="55" a="1"/>
  <c r="F23" i="55" a="1"/>
  <c r="D20" i="55" a="1"/>
  <c r="F26" i="55" a="1"/>
  <c r="E24" i="55" a="1"/>
  <c r="E30" i="55" a="1"/>
  <c r="G24" i="55" a="1"/>
  <c r="D30" i="55" a="1"/>
  <c r="G30" i="55" a="1"/>
  <c r="D24" i="55" a="1"/>
  <c r="G25" i="55" a="1"/>
  <c r="F16" i="55" a="1"/>
  <c r="D17" i="55" a="1"/>
  <c r="E25" i="55" a="1"/>
  <c r="E22" i="55" a="1"/>
  <c r="D12" i="55" a="1"/>
  <c r="F28" i="55" a="1"/>
  <c r="E23" i="55" a="1"/>
  <c r="E10" i="55" a="1"/>
  <c r="F17" i="55" a="1"/>
  <c r="F19" i="55" a="1"/>
  <c r="G15" i="55" a="1"/>
  <c r="E28" i="55" a="1"/>
  <c r="G20" i="55" a="1"/>
  <c r="G22" i="55" a="1"/>
  <c r="G12" i="55" a="1"/>
  <c r="G11" i="55" a="1"/>
  <c r="G27" i="55" a="1"/>
  <c r="D21" i="55" a="1"/>
  <c r="E16" i="55" a="1"/>
  <c r="G14" i="55" a="1"/>
  <c r="F24" i="55" a="1"/>
  <c r="D14" i="55" a="1"/>
  <c r="F22" i="55" a="1"/>
  <c r="E18" i="55" a="1"/>
  <c r="D22" i="55" a="1"/>
  <c r="G26" i="55" a="1"/>
  <c r="G18" i="55" a="1"/>
  <c r="D27" i="55" a="1"/>
  <c r="D28" i="55" a="1"/>
  <c r="F13" i="55" a="1"/>
  <c r="M36" i="40" l="1"/>
  <c r="M34" i="40"/>
  <c r="M35" i="40"/>
  <c r="H7" i="7"/>
  <c r="T7" i="7" s="1"/>
  <c r="B35" i="5"/>
  <c r="AU17" i="55"/>
  <c r="AU18" i="55"/>
  <c r="F7" i="7"/>
  <c r="R7" i="7" s="1"/>
  <c r="U7" i="7" s="1"/>
  <c r="AU23" i="55"/>
  <c r="AU16" i="55"/>
  <c r="C40" i="55"/>
  <c r="AB7" i="7"/>
  <c r="AC7" i="7" s="1"/>
  <c r="AU22" i="55"/>
  <c r="AU20" i="55"/>
  <c r="AU21" i="55"/>
  <c r="CJ27" i="55"/>
  <c r="CK27" i="55" s="1"/>
  <c r="AU19" i="55"/>
  <c r="BL10" i="55"/>
  <c r="BL11" i="55"/>
  <c r="BL12" i="55"/>
  <c r="BL13" i="55"/>
  <c r="BL14" i="55"/>
  <c r="BL15" i="55"/>
  <c r="BB13" i="55"/>
  <c r="BB16" i="55"/>
  <c r="BC12" i="55"/>
  <c r="BD12" i="55" s="1"/>
  <c r="BB12" i="55"/>
  <c r="BB15" i="55"/>
  <c r="BB11" i="55"/>
  <c r="BI11" i="55" s="1"/>
  <c r="BB14" i="55"/>
  <c r="CJ26" i="55"/>
  <c r="CK26" i="55" s="1"/>
  <c r="CJ13" i="55"/>
  <c r="CK13" i="55" s="1"/>
  <c r="CJ16" i="55"/>
  <c r="CK16" i="55" s="1"/>
  <c r="CJ17" i="55"/>
  <c r="CK17" i="55" s="1"/>
  <c r="CJ29" i="55"/>
  <c r="CK29" i="55" s="1"/>
  <c r="BO14" i="55"/>
  <c r="BO12" i="55"/>
  <c r="BO15" i="55"/>
  <c r="CG18" i="55"/>
  <c r="CJ18" i="55" s="1"/>
  <c r="CK18" i="55" s="1"/>
  <c r="CG19" i="55"/>
  <c r="CJ19" i="55" s="1"/>
  <c r="CK19" i="55" s="1"/>
  <c r="BN14" i="55"/>
  <c r="CJ30" i="55"/>
  <c r="CK30" i="55" s="1"/>
  <c r="CM23" i="55"/>
  <c r="F63" i="55"/>
  <c r="C63" i="55"/>
  <c r="CL15" i="55"/>
  <c r="CO15" i="55" s="1"/>
  <c r="CL14" i="55"/>
  <c r="CL20" i="55"/>
  <c r="CL21" i="55"/>
  <c r="AO34" i="55"/>
  <c r="CN14" i="55"/>
  <c r="CN18" i="55"/>
  <c r="CN29" i="55"/>
  <c r="CL13" i="55"/>
  <c r="CN13" i="55"/>
  <c r="CM17" i="55"/>
  <c r="CM19" i="55"/>
  <c r="CN15" i="55"/>
  <c r="CN22" i="55"/>
  <c r="CM24" i="55"/>
  <c r="CN24" i="55"/>
  <c r="CM12" i="55"/>
  <c r="BO13" i="55"/>
  <c r="BQ13" i="55"/>
  <c r="CM30" i="55"/>
  <c r="AJ34" i="55"/>
  <c r="CN16" i="55"/>
  <c r="CN25" i="55"/>
  <c r="CL29" i="55"/>
  <c r="CN30" i="55"/>
  <c r="CM14" i="55"/>
  <c r="CJ15" i="55"/>
  <c r="CK15" i="55" s="1"/>
  <c r="CJ14" i="55"/>
  <c r="CK14" i="55" s="1"/>
  <c r="CJ21" i="55"/>
  <c r="CK21" i="55" s="1"/>
  <c r="CJ24" i="55"/>
  <c r="CK24" i="55" s="1"/>
  <c r="CJ23" i="55"/>
  <c r="CK23" i="55" s="1"/>
  <c r="CJ22" i="55"/>
  <c r="CK22" i="55" s="1"/>
  <c r="CJ20" i="55"/>
  <c r="CK20" i="55" s="1"/>
  <c r="CJ11" i="55"/>
  <c r="CK11" i="55" s="1"/>
  <c r="CJ25" i="55"/>
  <c r="CK25" i="55" s="1"/>
  <c r="CJ28" i="55"/>
  <c r="CK28" i="55" s="1"/>
  <c r="CJ10" i="55"/>
  <c r="CK10" i="55" s="1"/>
  <c r="CJ12" i="55"/>
  <c r="CK12" i="55" s="1"/>
  <c r="G29" i="55"/>
  <c r="G25" i="55"/>
  <c r="G12" i="55"/>
  <c r="G11" i="55"/>
  <c r="D17" i="55"/>
  <c r="D19" i="55"/>
  <c r="E23" i="55"/>
  <c r="F21" i="55"/>
  <c r="E30" i="55"/>
  <c r="F15" i="55"/>
  <c r="E10" i="55"/>
  <c r="D13" i="55"/>
  <c r="G15" i="55"/>
  <c r="E17" i="55"/>
  <c r="G17" i="55"/>
  <c r="F13" i="55"/>
  <c r="G16" i="55"/>
  <c r="G13" i="55"/>
  <c r="G22" i="55"/>
  <c r="G10" i="55"/>
  <c r="D20" i="55"/>
  <c r="D14" i="55"/>
  <c r="D18" i="55"/>
  <c r="F20" i="55"/>
  <c r="D24" i="55"/>
  <c r="E28" i="55"/>
  <c r="D11" i="55"/>
  <c r="F18" i="55"/>
  <c r="E24" i="55"/>
  <c r="F27" i="55"/>
  <c r="E16" i="55"/>
  <c r="E12" i="55"/>
  <c r="F14" i="55"/>
  <c r="E21" i="55"/>
  <c r="G24" i="55"/>
  <c r="D26" i="55"/>
  <c r="E13" i="55"/>
  <c r="D12" i="55"/>
  <c r="E11" i="55"/>
  <c r="G14" i="55"/>
  <c r="G18" i="55"/>
  <c r="F25" i="55"/>
  <c r="D16" i="55"/>
  <c r="F17" i="55"/>
  <c r="E20" i="55"/>
  <c r="G21" i="55"/>
  <c r="D23" i="55"/>
  <c r="F24" i="55"/>
  <c r="E27" i="55"/>
  <c r="G28" i="55"/>
  <c r="D30" i="55"/>
  <c r="F16" i="55"/>
  <c r="E19" i="55"/>
  <c r="G20" i="55"/>
  <c r="D22" i="55"/>
  <c r="F23" i="55"/>
  <c r="E26" i="55"/>
  <c r="G27" i="55"/>
  <c r="D29" i="55"/>
  <c r="F30" i="55"/>
  <c r="F19" i="55"/>
  <c r="E22" i="55"/>
  <c r="G23" i="55"/>
  <c r="D25" i="55"/>
  <c r="F26" i="55"/>
  <c r="E29" i="55"/>
  <c r="G30" i="55"/>
  <c r="E18" i="55"/>
  <c r="G19" i="55"/>
  <c r="D21" i="55"/>
  <c r="F22" i="55"/>
  <c r="E25" i="55"/>
  <c r="G26" i="55"/>
  <c r="D28" i="55"/>
  <c r="D27" i="55"/>
  <c r="F28" i="55"/>
  <c r="BO10" i="55"/>
  <c r="CL11" i="55"/>
  <c r="BN10" i="55"/>
  <c r="BQ10" i="55"/>
  <c r="CL17" i="55"/>
  <c r="BN11" i="55"/>
  <c r="BQ11" i="55"/>
  <c r="AN34" i="55"/>
  <c r="C46" i="55" s="1"/>
  <c r="CL10" i="55"/>
  <c r="CL16" i="55"/>
  <c r="C45" i="55"/>
  <c r="I7" i="7" s="1"/>
  <c r="CM16" i="55"/>
  <c r="BO16" i="55"/>
  <c r="CL22" i="55"/>
  <c r="CN12" i="55"/>
  <c r="BO11" i="55"/>
  <c r="BQ12" i="55"/>
  <c r="CN19" i="55"/>
  <c r="CN20" i="55"/>
  <c r="CM13" i="55"/>
  <c r="CM22" i="55"/>
  <c r="CL24" i="55"/>
  <c r="CL28" i="55"/>
  <c r="AK34" i="55"/>
  <c r="CM10" i="55"/>
  <c r="CM11" i="55"/>
  <c r="CL26" i="55"/>
  <c r="CN10" i="55"/>
  <c r="CN11" i="55"/>
  <c r="CM25" i="55"/>
  <c r="CM27" i="55"/>
  <c r="CL19" i="55"/>
  <c r="CM26" i="55"/>
  <c r="CL27" i="55"/>
  <c r="CL30" i="55"/>
  <c r="CL25" i="55"/>
  <c r="CN26" i="55"/>
  <c r="CM21" i="55"/>
  <c r="CL23" i="55"/>
  <c r="CM20" i="55"/>
  <c r="AQ34" i="55"/>
  <c r="C48" i="55" s="1"/>
  <c r="BN15" i="55"/>
  <c r="BN16" i="55"/>
  <c r="CL18" i="55"/>
  <c r="AP34" i="55"/>
  <c r="C47" i="55" s="1"/>
  <c r="CL12" i="55"/>
  <c r="CM18" i="55"/>
  <c r="CM28" i="55"/>
  <c r="CN21" i="55"/>
  <c r="CN28" i="55"/>
  <c r="CN27" i="55"/>
  <c r="CM29" i="55"/>
  <c r="BJ11" i="55" l="1"/>
  <c r="CB11" i="55" s="1"/>
  <c r="CE11" i="55" s="1"/>
  <c r="BZ11" i="55"/>
  <c r="CD11" i="55" s="1"/>
  <c r="BE12" i="55"/>
  <c r="BE34" i="55" s="1"/>
  <c r="BV12" i="55"/>
  <c r="BW12" i="55"/>
  <c r="BI12" i="55"/>
  <c r="AG7" i="7"/>
  <c r="AI7" i="7" s="1"/>
  <c r="AF7" i="7"/>
  <c r="AH7" i="7" s="1"/>
  <c r="BI14" i="55"/>
  <c r="BI15" i="55"/>
  <c r="BI16" i="55"/>
  <c r="BI13" i="55"/>
  <c r="D34" i="55"/>
  <c r="E67" i="55" s="1"/>
  <c r="G36" i="55"/>
  <c r="D68" i="55" s="1"/>
  <c r="G35" i="55"/>
  <c r="C68" i="55" s="1"/>
  <c r="G34" i="55"/>
  <c r="E68" i="55" s="1"/>
  <c r="E36" i="55"/>
  <c r="D57" i="55" s="1"/>
  <c r="E35" i="55"/>
  <c r="C57" i="55" s="1"/>
  <c r="E34" i="55"/>
  <c r="E57" i="55" s="1"/>
  <c r="F35" i="55"/>
  <c r="C56" i="55" s="1"/>
  <c r="F36" i="55"/>
  <c r="D56" i="55" s="1"/>
  <c r="CA10" i="55"/>
  <c r="BB34" i="55"/>
  <c r="BP10" i="55"/>
  <c r="CO13" i="55"/>
  <c r="CP13" i="55" s="1"/>
  <c r="CO29" i="55"/>
  <c r="CP29" i="55" s="1"/>
  <c r="CO17" i="55"/>
  <c r="CP17" i="55" s="1"/>
  <c r="CO19" i="55"/>
  <c r="CP19" i="55" s="1"/>
  <c r="CO23" i="55"/>
  <c r="CP23" i="55" s="1"/>
  <c r="CC12" i="55"/>
  <c r="CA14" i="55"/>
  <c r="CA15" i="55"/>
  <c r="CA11" i="55"/>
  <c r="CA13" i="55"/>
  <c r="CA12" i="55"/>
  <c r="BM14" i="55"/>
  <c r="BP14" i="55"/>
  <c r="BP16" i="55"/>
  <c r="BM16" i="55"/>
  <c r="CO12" i="55"/>
  <c r="CP12" i="55" s="1"/>
  <c r="CO21" i="55"/>
  <c r="CP21" i="55" s="1"/>
  <c r="CO26" i="55"/>
  <c r="CP26" i="55" s="1"/>
  <c r="CO16" i="55"/>
  <c r="CP16" i="55" s="1"/>
  <c r="CO22" i="55"/>
  <c r="CP22" i="55" s="1"/>
  <c r="CO14" i="55"/>
  <c r="CP14" i="55" s="1"/>
  <c r="CP15" i="55"/>
  <c r="CO24" i="55"/>
  <c r="CP24" i="55" s="1"/>
  <c r="CO20" i="55"/>
  <c r="CP20" i="55" s="1"/>
  <c r="CO18" i="55"/>
  <c r="CP18" i="55" s="1"/>
  <c r="CO30" i="55"/>
  <c r="CP30" i="55" s="1"/>
  <c r="CO28" i="55"/>
  <c r="CP28" i="55" s="1"/>
  <c r="D36" i="55"/>
  <c r="D67" i="55" s="1"/>
  <c r="D35" i="55"/>
  <c r="C67" i="55" s="1"/>
  <c r="F34" i="55"/>
  <c r="E56" i="55" s="1"/>
  <c r="D49" i="55"/>
  <c r="CO10" i="55"/>
  <c r="CP10" i="55" s="1"/>
  <c r="CO27" i="55"/>
  <c r="CP27" i="55" s="1"/>
  <c r="CO11" i="55"/>
  <c r="CP11" i="55" s="1"/>
  <c r="CO25" i="55"/>
  <c r="CP25" i="55" s="1"/>
  <c r="BP15" i="55"/>
  <c r="BP11" i="55"/>
  <c r="AR34" i="55"/>
  <c r="C49" i="55" s="1"/>
  <c r="D50" i="55" s="1"/>
  <c r="BM10" i="55"/>
  <c r="BJ16" i="55" l="1"/>
  <c r="CB16" i="55" s="1"/>
  <c r="CE16" i="55" s="1"/>
  <c r="BZ16" i="55"/>
  <c r="CD16" i="55" s="1"/>
  <c r="BJ13" i="55"/>
  <c r="CB13" i="55" s="1"/>
  <c r="CE13" i="55" s="1"/>
  <c r="BZ13" i="55"/>
  <c r="CD13" i="55" s="1"/>
  <c r="BJ15" i="55"/>
  <c r="CB15" i="55" s="1"/>
  <c r="CE15" i="55" s="1"/>
  <c r="BZ15" i="55"/>
  <c r="CD15" i="55" s="1"/>
  <c r="BJ14" i="55"/>
  <c r="CB14" i="55" s="1"/>
  <c r="CE14" i="55" s="1"/>
  <c r="BZ14" i="55"/>
  <c r="CD14" i="55" s="1"/>
  <c r="BJ12" i="55"/>
  <c r="CB12" i="55" s="1"/>
  <c r="CE12" i="55" s="1"/>
  <c r="BZ12" i="55"/>
  <c r="CD12" i="55" s="1"/>
  <c r="BP12" i="55"/>
  <c r="BP13" i="55"/>
  <c r="AU12" i="55"/>
  <c r="BM12" i="55"/>
  <c r="AU15" i="55"/>
  <c r="AU14" i="55"/>
  <c r="AU13" i="55"/>
  <c r="AU11" i="55"/>
  <c r="CC11" i="55"/>
  <c r="AS34" i="55"/>
  <c r="C50" i="55" s="1"/>
  <c r="CC13" i="55"/>
  <c r="BM11" i="55"/>
  <c r="AT34" i="55"/>
  <c r="BM15" i="55"/>
  <c r="BC34" i="55"/>
  <c r="CC15" i="55"/>
  <c r="CC16" i="55"/>
  <c r="CC14" i="55"/>
  <c r="BM13" i="55" l="1"/>
  <c r="AU34" i="55"/>
  <c r="BD34" i="55"/>
  <c r="AN7" i="7" s="1"/>
  <c r="AQ7" i="7" s="1"/>
  <c r="BI34" i="55" l="1"/>
  <c r="BJ34" i="55" s="1"/>
  <c r="F64" i="40" l="1"/>
  <c r="F63" i="40"/>
  <c r="F62" i="40"/>
  <c r="E61" i="40"/>
  <c r="E60" i="40"/>
  <c r="E59" i="40"/>
  <c r="E64" i="40"/>
  <c r="C57" i="40" l="1"/>
  <c r="E56" i="40"/>
  <c r="C56" i="40"/>
  <c r="D56" i="40"/>
  <c r="D57" i="40"/>
  <c r="E57" i="40"/>
  <c r="D34" i="40"/>
  <c r="E68" i="40"/>
  <c r="C68" i="40"/>
  <c r="D68" i="40"/>
  <c r="W34" i="40" l="1"/>
  <c r="D65" i="40"/>
  <c r="D66" i="40"/>
  <c r="C65" i="40"/>
  <c r="C66" i="40"/>
  <c r="I34" i="40" l="1"/>
  <c r="C42" i="40" s="1"/>
  <c r="BI21" i="40"/>
  <c r="BO21" i="40" s="1"/>
  <c r="AE12" i="40"/>
  <c r="AE13" i="40"/>
  <c r="AF13" i="40" s="1"/>
  <c r="AE14" i="40"/>
  <c r="AF14" i="40" s="1"/>
  <c r="AE15" i="40"/>
  <c r="AF15" i="40" s="1"/>
  <c r="AE16" i="40"/>
  <c r="AF16" i="40" s="1"/>
  <c r="AE17" i="40"/>
  <c r="AF17" i="40" s="1"/>
  <c r="AE18" i="40"/>
  <c r="AF18" i="40" s="1"/>
  <c r="AE19" i="40"/>
  <c r="AF19" i="40" s="1"/>
  <c r="AE20" i="40"/>
  <c r="AF20" i="40" s="1"/>
  <c r="AE21" i="40"/>
  <c r="AF21" i="40" s="1"/>
  <c r="AE22" i="40"/>
  <c r="AF22" i="40" s="1"/>
  <c r="AE23" i="40"/>
  <c r="AF23" i="40" s="1"/>
  <c r="AE24" i="40"/>
  <c r="AF24" i="40" s="1"/>
  <c r="AE25" i="40"/>
  <c r="AF25" i="40" s="1"/>
  <c r="AE26" i="40"/>
  <c r="AF26" i="40" s="1"/>
  <c r="AE27" i="40"/>
  <c r="AF27" i="40" s="1"/>
  <c r="AE28" i="40"/>
  <c r="AF28" i="40" s="1"/>
  <c r="AE29" i="40"/>
  <c r="AF29" i="40" s="1"/>
  <c r="AE30" i="40"/>
  <c r="AF30" i="40" s="1"/>
  <c r="AE31" i="40"/>
  <c r="AF31" i="40" s="1"/>
  <c r="AE32" i="40"/>
  <c r="AF32" i="40" s="1"/>
  <c r="Y34" i="40"/>
  <c r="AA34" i="40"/>
  <c r="X34" i="40"/>
  <c r="E66" i="40" s="1"/>
  <c r="BI33" i="40"/>
  <c r="BR11" i="40"/>
  <c r="BR12" i="40"/>
  <c r="BR13" i="40"/>
  <c r="BR14" i="40"/>
  <c r="BR15" i="40"/>
  <c r="BR16" i="40"/>
  <c r="BR17" i="40"/>
  <c r="BR18" i="40"/>
  <c r="BR19" i="40"/>
  <c r="BR20" i="40"/>
  <c r="BI22" i="40"/>
  <c r="BO22" i="40" s="1"/>
  <c r="BI23" i="40"/>
  <c r="BO23" i="40" s="1"/>
  <c r="BI24" i="40"/>
  <c r="BO24" i="40" s="1"/>
  <c r="BR25" i="40"/>
  <c r="BR26" i="40"/>
  <c r="BR27" i="40"/>
  <c r="BR29" i="40"/>
  <c r="BR30" i="40"/>
  <c r="BR31" i="40"/>
  <c r="BR32" i="40"/>
  <c r="AN34" i="40"/>
  <c r="AB6" i="7" s="1"/>
  <c r="AC6" i="7" s="1"/>
  <c r="AF6" i="7" s="1"/>
  <c r="AH6" i="7" s="1"/>
  <c r="BA18" i="40"/>
  <c r="BA12" i="40"/>
  <c r="BA13" i="40"/>
  <c r="BA14" i="40"/>
  <c r="BA15" i="40"/>
  <c r="BA16" i="40"/>
  <c r="BA17" i="40"/>
  <c r="BA19" i="40"/>
  <c r="BA20" i="40"/>
  <c r="BA21" i="40"/>
  <c r="BA22" i="40"/>
  <c r="BA23" i="40"/>
  <c r="BA24" i="40"/>
  <c r="BA25" i="40"/>
  <c r="BA26" i="40"/>
  <c r="BA27" i="40"/>
  <c r="BA28" i="40"/>
  <c r="BA29" i="40"/>
  <c r="BA30" i="40"/>
  <c r="BA31" i="40"/>
  <c r="BA32" i="40"/>
  <c r="BA33" i="40"/>
  <c r="BU51" i="40" l="1"/>
  <c r="CA51" i="40" s="1"/>
  <c r="BV20" i="40"/>
  <c r="BV51" i="40"/>
  <c r="BU63" i="40"/>
  <c r="CA63" i="40" s="1"/>
  <c r="BV32" i="40"/>
  <c r="BV63" i="40"/>
  <c r="BV16" i="40"/>
  <c r="BV47" i="40"/>
  <c r="BU47" i="40"/>
  <c r="CA47" i="40" s="1"/>
  <c r="BV15" i="40"/>
  <c r="BV46" i="40"/>
  <c r="BU46" i="40"/>
  <c r="CA46" i="40" s="1"/>
  <c r="BV29" i="40"/>
  <c r="BV60" i="40"/>
  <c r="BU60" i="40"/>
  <c r="CA60" i="40" s="1"/>
  <c r="BU52" i="40"/>
  <c r="CA52" i="40" s="1"/>
  <c r="BV21" i="40"/>
  <c r="BV52" i="40"/>
  <c r="BV30" i="40"/>
  <c r="BV61" i="40"/>
  <c r="BU61" i="40"/>
  <c r="CA61" i="40" s="1"/>
  <c r="BU58" i="40"/>
  <c r="CA58" i="40" s="1"/>
  <c r="BV58" i="40"/>
  <c r="BV27" i="40"/>
  <c r="BV43" i="40"/>
  <c r="BU43" i="40"/>
  <c r="CA43" i="40" s="1"/>
  <c r="BV12" i="40"/>
  <c r="AF12" i="40"/>
  <c r="BV33" i="40"/>
  <c r="BU64" i="40"/>
  <c r="CA64" i="40" s="1"/>
  <c r="BV64" i="40"/>
  <c r="BU50" i="40"/>
  <c r="CA50" i="40" s="1"/>
  <c r="BV19" i="40"/>
  <c r="BV50" i="40"/>
  <c r="BU48" i="40"/>
  <c r="CA48" i="40" s="1"/>
  <c r="BV17" i="40"/>
  <c r="BV48" i="40"/>
  <c r="BU62" i="40"/>
  <c r="CA62" i="40" s="1"/>
  <c r="BV31" i="40"/>
  <c r="BV62" i="40"/>
  <c r="BV14" i="40"/>
  <c r="BV45" i="40"/>
  <c r="BU45" i="40"/>
  <c r="CA45" i="40" s="1"/>
  <c r="BV42" i="40"/>
  <c r="BU42" i="40"/>
  <c r="CA42" i="40" s="1"/>
  <c r="BV28" i="40"/>
  <c r="BV59" i="40"/>
  <c r="BU59" i="40"/>
  <c r="CA59" i="40" s="1"/>
  <c r="BU49" i="40"/>
  <c r="CA49" i="40" s="1"/>
  <c r="BV18" i="40"/>
  <c r="BV49" i="40"/>
  <c r="BV54" i="40"/>
  <c r="BV23" i="40"/>
  <c r="BU54" i="40"/>
  <c r="CA54" i="40" s="1"/>
  <c r="BV44" i="40"/>
  <c r="BU44" i="40"/>
  <c r="CA44" i="40" s="1"/>
  <c r="BV13" i="40"/>
  <c r="BU57" i="40"/>
  <c r="CA57" i="40" s="1"/>
  <c r="BV57" i="40"/>
  <c r="BV26" i="40"/>
  <c r="BV56" i="40"/>
  <c r="BV25" i="40"/>
  <c r="BU56" i="40"/>
  <c r="CA56" i="40" s="1"/>
  <c r="BV55" i="40"/>
  <c r="BV24" i="40"/>
  <c r="BU55" i="40"/>
  <c r="CA55" i="40" s="1"/>
  <c r="BU53" i="40"/>
  <c r="CA53" i="40" s="1"/>
  <c r="BV22" i="40"/>
  <c r="BV53" i="40"/>
  <c r="BR28" i="40"/>
  <c r="B34" i="5"/>
  <c r="BC30" i="40"/>
  <c r="BD30" i="40"/>
  <c r="BE30" i="40" s="1"/>
  <c r="BD24" i="40"/>
  <c r="BE24" i="40" s="1"/>
  <c r="BC24" i="40"/>
  <c r="BC21" i="40"/>
  <c r="BD21" i="40"/>
  <c r="BE21" i="40" s="1"/>
  <c r="BD15" i="40"/>
  <c r="BC15" i="40"/>
  <c r="BD23" i="40"/>
  <c r="BE23" i="40" s="1"/>
  <c r="BC23" i="40"/>
  <c r="BC22" i="40"/>
  <c r="BD22" i="40"/>
  <c r="BE22" i="40" s="1"/>
  <c r="BC32" i="40"/>
  <c r="BD32" i="40"/>
  <c r="BE32" i="40" s="1"/>
  <c r="BC17" i="40"/>
  <c r="BD17" i="40"/>
  <c r="BE17" i="40" s="1"/>
  <c r="BC20" i="40"/>
  <c r="BD20" i="40"/>
  <c r="BE20" i="40" s="1"/>
  <c r="BC33" i="40"/>
  <c r="BD33" i="40"/>
  <c r="BC19" i="40"/>
  <c r="BD19" i="40"/>
  <c r="BE19" i="40" s="1"/>
  <c r="BC31" i="40"/>
  <c r="BD31" i="40"/>
  <c r="BE31" i="40" s="1"/>
  <c r="BC16" i="40"/>
  <c r="BD16" i="40"/>
  <c r="BE16" i="40" s="1"/>
  <c r="BC29" i="40"/>
  <c r="BD29" i="40"/>
  <c r="BC14" i="40"/>
  <c r="BD14" i="40"/>
  <c r="BE14" i="40" s="1"/>
  <c r="BC28" i="40"/>
  <c r="BD28" i="40"/>
  <c r="BC13" i="40"/>
  <c r="BD13" i="40"/>
  <c r="BE13" i="40" s="1"/>
  <c r="BC27" i="40"/>
  <c r="BD27" i="40"/>
  <c r="BD12" i="40"/>
  <c r="BC12" i="40"/>
  <c r="BD26" i="40"/>
  <c r="BC26" i="40"/>
  <c r="BD11" i="40"/>
  <c r="BC11" i="40"/>
  <c r="BC25" i="40"/>
  <c r="BD25" i="40"/>
  <c r="BE25" i="40" s="1"/>
  <c r="BC18" i="40"/>
  <c r="BD18" i="40"/>
  <c r="B33" i="5"/>
  <c r="BR10" i="40"/>
  <c r="BA34" i="40"/>
  <c r="AM6" i="7" s="1"/>
  <c r="AP6" i="7" s="1"/>
  <c r="B14" i="5"/>
  <c r="I20" i="5" s="1"/>
  <c r="BM10" i="40"/>
  <c r="BO10" i="40"/>
  <c r="BI32" i="40"/>
  <c r="BO32" i="40" s="1"/>
  <c r="BI19" i="40"/>
  <c r="BO19" i="40" s="1"/>
  <c r="BP18" i="40"/>
  <c r="BP17" i="40"/>
  <c r="BP11" i="40"/>
  <c r="BI27" i="40"/>
  <c r="BO27" i="40" s="1"/>
  <c r="BI26" i="40"/>
  <c r="BO26" i="40" s="1"/>
  <c r="BI25" i="40"/>
  <c r="BO25" i="40" s="1"/>
  <c r="BI20" i="40"/>
  <c r="BO20" i="40" s="1"/>
  <c r="BI18" i="40"/>
  <c r="BO18" i="40" s="1"/>
  <c r="BI13" i="40"/>
  <c r="BO13" i="40" s="1"/>
  <c r="BI12" i="40"/>
  <c r="BO12" i="40" s="1"/>
  <c r="BI11" i="40"/>
  <c r="BO11" i="40" s="1"/>
  <c r="BP32" i="40"/>
  <c r="BP25" i="40"/>
  <c r="BP31" i="40"/>
  <c r="BR23" i="40"/>
  <c r="BP30" i="40"/>
  <c r="BR22" i="40"/>
  <c r="BI31" i="40"/>
  <c r="BO31" i="40" s="1"/>
  <c r="BI17" i="40"/>
  <c r="BO17" i="40" s="1"/>
  <c r="BP29" i="40"/>
  <c r="BP15" i="40"/>
  <c r="BR21" i="40"/>
  <c r="BP16" i="40"/>
  <c r="BI30" i="40"/>
  <c r="BO30" i="40" s="1"/>
  <c r="BI16" i="40"/>
  <c r="BO16" i="40" s="1"/>
  <c r="BP28" i="40"/>
  <c r="BP14" i="40"/>
  <c r="BR24" i="40"/>
  <c r="BI29" i="40"/>
  <c r="BO29" i="40" s="1"/>
  <c r="BI15" i="40"/>
  <c r="BP27" i="40"/>
  <c r="BP13" i="40"/>
  <c r="BI28" i="40"/>
  <c r="BI14" i="40"/>
  <c r="BO14" i="40" s="1"/>
  <c r="BP26" i="40"/>
  <c r="BP12" i="40"/>
  <c r="BP23" i="40"/>
  <c r="BP22" i="40"/>
  <c r="BP21" i="40"/>
  <c r="BP24" i="40"/>
  <c r="BP10" i="40"/>
  <c r="BP20" i="40"/>
  <c r="BP19" i="40"/>
  <c r="BW52" i="40" l="1"/>
  <c r="CC52" i="40" s="1"/>
  <c r="BX52" i="40"/>
  <c r="BW51" i="40"/>
  <c r="CC51" i="40" s="1"/>
  <c r="BX51" i="40"/>
  <c r="BW55" i="40"/>
  <c r="CC55" i="40" s="1"/>
  <c r="BX55" i="40"/>
  <c r="BX45" i="40"/>
  <c r="BW45" i="40"/>
  <c r="CC45" i="40" s="1"/>
  <c r="BX61" i="40"/>
  <c r="BW61" i="40"/>
  <c r="CC61" i="40" s="1"/>
  <c r="BX63" i="40"/>
  <c r="BW63" i="40"/>
  <c r="CC63" i="40" s="1"/>
  <c r="BW54" i="40"/>
  <c r="CC54" i="40" s="1"/>
  <c r="BX54" i="40"/>
  <c r="BX44" i="40"/>
  <c r="BW44" i="40"/>
  <c r="CC44" i="40" s="1"/>
  <c r="BW56" i="40"/>
  <c r="CC56" i="40" s="1"/>
  <c r="BX56" i="40"/>
  <c r="BX48" i="40"/>
  <c r="BW48" i="40"/>
  <c r="CC48" i="40" s="1"/>
  <c r="BX47" i="40"/>
  <c r="BW47" i="40"/>
  <c r="CC47" i="40" s="1"/>
  <c r="BW53" i="40"/>
  <c r="CC53" i="40" s="1"/>
  <c r="BX53" i="40"/>
  <c r="BX62" i="40"/>
  <c r="BW62" i="40"/>
  <c r="CC62" i="40" s="1"/>
  <c r="BW50" i="40"/>
  <c r="CC50" i="40" s="1"/>
  <c r="BX50" i="40"/>
  <c r="BE15" i="40"/>
  <c r="BE18" i="40"/>
  <c r="BE28" i="40"/>
  <c r="BE27" i="40"/>
  <c r="BE29" i="40"/>
  <c r="BE11" i="40"/>
  <c r="BE26" i="40"/>
  <c r="BE33" i="40"/>
  <c r="BE12" i="40"/>
  <c r="BF32" i="40"/>
  <c r="BN32" i="40" s="1"/>
  <c r="BQ21" i="40"/>
  <c r="BF21" i="40"/>
  <c r="BN21" i="40" s="1"/>
  <c r="BQ20" i="40"/>
  <c r="BF20" i="40"/>
  <c r="BN20" i="40" s="1"/>
  <c r="BF30" i="40"/>
  <c r="BN30" i="40" s="1"/>
  <c r="BF14" i="40"/>
  <c r="BN14" i="40" s="1"/>
  <c r="BF16" i="40"/>
  <c r="BN16" i="40" s="1"/>
  <c r="BQ22" i="40"/>
  <c r="BF22" i="40"/>
  <c r="BJ22" i="40" s="1"/>
  <c r="BK22" i="40" s="1"/>
  <c r="BF25" i="40"/>
  <c r="BN25" i="40" s="1"/>
  <c r="BF17" i="40"/>
  <c r="BN17" i="40" s="1"/>
  <c r="BQ31" i="40"/>
  <c r="BF31" i="40"/>
  <c r="BJ31" i="40" s="1"/>
  <c r="BK31" i="40" s="1"/>
  <c r="BF24" i="40"/>
  <c r="BN24" i="40" s="1"/>
  <c r="BF23" i="40"/>
  <c r="BN23" i="40" s="1"/>
  <c r="BQ13" i="40"/>
  <c r="BF13" i="40"/>
  <c r="BN13" i="40" s="1"/>
  <c r="BQ19" i="40"/>
  <c r="BF19" i="40"/>
  <c r="BJ19" i="40" s="1"/>
  <c r="BK19" i="40" s="1"/>
  <c r="BO28" i="40"/>
  <c r="BD34" i="40"/>
  <c r="BC34" i="40"/>
  <c r="BQ30" i="40"/>
  <c r="BN10" i="40"/>
  <c r="BQ14" i="40"/>
  <c r="BQ17" i="40"/>
  <c r="BQ32" i="40"/>
  <c r="BQ23" i="40"/>
  <c r="BQ24" i="40"/>
  <c r="BQ10" i="40"/>
  <c r="BQ16" i="40"/>
  <c r="BQ25" i="40"/>
  <c r="BM14" i="40"/>
  <c r="BM28" i="40"/>
  <c r="BM29" i="40"/>
  <c r="BM17" i="40"/>
  <c r="BM31" i="40"/>
  <c r="BM11" i="40"/>
  <c r="BM15" i="40"/>
  <c r="BM26" i="40"/>
  <c r="BM25" i="40"/>
  <c r="BM30" i="40"/>
  <c r="BM22" i="40"/>
  <c r="BM21" i="40"/>
  <c r="BM27" i="40"/>
  <c r="BM23" i="40"/>
  <c r="BM18" i="40"/>
  <c r="BM32" i="40"/>
  <c r="BM20" i="40"/>
  <c r="BM16" i="40"/>
  <c r="BM24" i="40"/>
  <c r="BM19" i="40"/>
  <c r="BM12" i="40"/>
  <c r="BM13" i="40"/>
  <c r="BI34" i="40"/>
  <c r="BO15" i="40"/>
  <c r="BF15" i="40" l="1"/>
  <c r="BJ15" i="40" s="1"/>
  <c r="BK15" i="40" s="1"/>
  <c r="BX46" i="40"/>
  <c r="BW46" i="40"/>
  <c r="CC46" i="40" s="1"/>
  <c r="BF12" i="40"/>
  <c r="BW43" i="40"/>
  <c r="CC43" i="40" s="1"/>
  <c r="BX43" i="40"/>
  <c r="BF33" i="40"/>
  <c r="BJ33" i="40" s="1"/>
  <c r="BK33" i="40" s="1"/>
  <c r="BW64" i="40"/>
  <c r="CC64" i="40" s="1"/>
  <c r="BX64" i="40"/>
  <c r="BQ15" i="40"/>
  <c r="BQ26" i="40"/>
  <c r="BW57" i="40"/>
  <c r="CC57" i="40" s="1"/>
  <c r="BX57" i="40"/>
  <c r="BQ11" i="40"/>
  <c r="BW42" i="40"/>
  <c r="CC42" i="40" s="1"/>
  <c r="BX42" i="40"/>
  <c r="BF27" i="40"/>
  <c r="BJ27" i="40" s="1"/>
  <c r="BK27" i="40" s="1"/>
  <c r="BX58" i="40"/>
  <c r="BW58" i="40"/>
  <c r="CC58" i="40" s="1"/>
  <c r="BF29" i="40"/>
  <c r="BJ29" i="40" s="1"/>
  <c r="BK29" i="40" s="1"/>
  <c r="BW60" i="40"/>
  <c r="CC60" i="40" s="1"/>
  <c r="BX60" i="40"/>
  <c r="BQ28" i="40"/>
  <c r="BX59" i="40"/>
  <c r="BW59" i="40"/>
  <c r="CC59" i="40" s="1"/>
  <c r="BQ18" i="40"/>
  <c r="BX49" i="40"/>
  <c r="BW49" i="40"/>
  <c r="CC49" i="40" s="1"/>
  <c r="BQ29" i="40"/>
  <c r="BQ12" i="40"/>
  <c r="BJ25" i="40"/>
  <c r="BK25" i="40" s="1"/>
  <c r="BQ27" i="40"/>
  <c r="BN12" i="40"/>
  <c r="BJ12" i="40"/>
  <c r="BK12" i="40" s="1"/>
  <c r="BF11" i="40"/>
  <c r="BF26" i="40"/>
  <c r="BF28" i="40"/>
  <c r="BF18" i="40"/>
  <c r="BN29" i="40"/>
  <c r="BN22" i="40"/>
  <c r="BJ13" i="40"/>
  <c r="BK13" i="40" s="1"/>
  <c r="BJ32" i="40"/>
  <c r="BK32" i="40" s="1"/>
  <c r="BJ21" i="40"/>
  <c r="BK21" i="40" s="1"/>
  <c r="BN31" i="40"/>
  <c r="BJ17" i="40"/>
  <c r="BK17" i="40" s="1"/>
  <c r="BJ16" i="40"/>
  <c r="BK16" i="40" s="1"/>
  <c r="BJ14" i="40"/>
  <c r="BK14" i="40" s="1"/>
  <c r="BJ23" i="40"/>
  <c r="BK23" i="40" s="1"/>
  <c r="BJ30" i="40"/>
  <c r="BK30" i="40" s="1"/>
  <c r="BN19" i="40"/>
  <c r="BJ20" i="40"/>
  <c r="BK20" i="40" s="1"/>
  <c r="BJ24" i="40"/>
  <c r="BK24" i="40" s="1"/>
  <c r="BN15" i="40" l="1"/>
  <c r="BN27" i="40"/>
  <c r="BN18" i="40"/>
  <c r="BJ18" i="40"/>
  <c r="BK18" i="40" s="1"/>
  <c r="BJ11" i="40"/>
  <c r="BN11" i="40"/>
  <c r="BN28" i="40"/>
  <c r="BJ28" i="40"/>
  <c r="BK28" i="40" s="1"/>
  <c r="BJ26" i="40"/>
  <c r="BN26" i="40"/>
  <c r="BJ34" i="40"/>
  <c r="BK34" i="40" s="1"/>
  <c r="CF10" i="40"/>
  <c r="BK26" i="40" l="1"/>
  <c r="BK11" i="40"/>
  <c r="F33" i="5"/>
  <c r="F34" i="5"/>
  <c r="C26" i="5"/>
  <c r="K18" i="40" a="1"/>
  <c r="K32" i="40" a="1"/>
  <c r="K32" i="40" l="1"/>
  <c r="K18" i="40"/>
  <c r="C45" i="40" l="1"/>
  <c r="BF34" i="40"/>
  <c r="C33" i="40"/>
  <c r="C32" i="40"/>
  <c r="C31" i="40"/>
  <c r="C30" i="40"/>
  <c r="C29" i="40"/>
  <c r="C28" i="40"/>
  <c r="C27" i="40"/>
  <c r="C26" i="40"/>
  <c r="C25" i="40"/>
  <c r="C24" i="40"/>
  <c r="C23" i="40"/>
  <c r="C22" i="40"/>
  <c r="C21" i="40"/>
  <c r="C20" i="40"/>
  <c r="C19" i="40"/>
  <c r="C18" i="40"/>
  <c r="C17" i="40"/>
  <c r="C16" i="40"/>
  <c r="C15" i="40"/>
  <c r="C14" i="40"/>
  <c r="C13" i="40"/>
  <c r="C12" i="40"/>
  <c r="C11" i="40"/>
  <c r="C10" i="40"/>
  <c r="K31" i="40" a="1"/>
  <c r="K22" i="40" a="1"/>
  <c r="K27" i="40" a="1"/>
  <c r="K33" i="40" a="1"/>
  <c r="K25" i="40" a="1"/>
  <c r="K24" i="40" a="1"/>
  <c r="K10" i="40" a="1"/>
  <c r="K26" i="40" a="1"/>
  <c r="K12" i="40" a="1"/>
  <c r="K15" i="40" a="1"/>
  <c r="K20" i="40" a="1"/>
  <c r="K17" i="40" a="1"/>
  <c r="K16" i="40" a="1"/>
  <c r="K29" i="40" a="1"/>
  <c r="K30" i="40" a="1"/>
  <c r="K11" i="40" a="1"/>
  <c r="K21" i="40" a="1"/>
  <c r="K14" i="40" a="1"/>
  <c r="K19" i="40" a="1"/>
  <c r="K23" i="40" a="1"/>
  <c r="K28" i="40" a="1"/>
  <c r="K13" i="40" a="1"/>
  <c r="I6" i="7" l="1"/>
  <c r="B16" i="5"/>
  <c r="B36" i="5"/>
  <c r="K10" i="40"/>
  <c r="K16" i="40"/>
  <c r="K17" i="40"/>
  <c r="K11" i="40"/>
  <c r="CN16" i="40"/>
  <c r="K15" i="40"/>
  <c r="K26" i="40"/>
  <c r="K33" i="40"/>
  <c r="K12" i="40"/>
  <c r="BE34" i="40"/>
  <c r="AN6" i="7" s="1"/>
  <c r="AQ6" i="7" s="1"/>
  <c r="CO12" i="40"/>
  <c r="CO29" i="40"/>
  <c r="CO16" i="40"/>
  <c r="K13" i="40"/>
  <c r="CO18" i="40"/>
  <c r="AO14" i="40"/>
  <c r="AO19" i="40"/>
  <c r="AO12" i="40"/>
  <c r="K25" i="40"/>
  <c r="K22" i="40"/>
  <c r="K14" i="40"/>
  <c r="K20" i="40"/>
  <c r="AO16" i="40"/>
  <c r="K27" i="40"/>
  <c r="K24" i="40"/>
  <c r="CN25" i="40"/>
  <c r="K21" i="40"/>
  <c r="CN18" i="40"/>
  <c r="K19" i="40"/>
  <c r="K23" i="40"/>
  <c r="AO26" i="40"/>
  <c r="K29" i="40"/>
  <c r="CO25" i="40"/>
  <c r="K30" i="40"/>
  <c r="K31" i="40"/>
  <c r="CO33" i="40"/>
  <c r="AO25" i="40"/>
  <c r="K28" i="40"/>
  <c r="CN17" i="40"/>
  <c r="CN26" i="40"/>
  <c r="CN14" i="40"/>
  <c r="CN15" i="40"/>
  <c r="CN21" i="40"/>
  <c r="CN23" i="40"/>
  <c r="CN13" i="40"/>
  <c r="CO22" i="40"/>
  <c r="CO23" i="40"/>
  <c r="CO28" i="40"/>
  <c r="CN19" i="40"/>
  <c r="CN32" i="40"/>
  <c r="CN20" i="40"/>
  <c r="CO20" i="40"/>
  <c r="CN22" i="40"/>
  <c r="CO24" i="40"/>
  <c r="CN28" i="40"/>
  <c r="CN29" i="40"/>
  <c r="CN33" i="40"/>
  <c r="CN30" i="40"/>
  <c r="CN27" i="40"/>
  <c r="AO32" i="40"/>
  <c r="AO29" i="40"/>
  <c r="AO15" i="40"/>
  <c r="AO22" i="40"/>
  <c r="AO13" i="40"/>
  <c r="AO23" i="40"/>
  <c r="AO21" i="40"/>
  <c r="C40" i="40"/>
  <c r="AO27" i="40"/>
  <c r="AK34" i="40"/>
  <c r="AO28" i="40"/>
  <c r="AO18" i="40"/>
  <c r="AO20" i="40"/>
  <c r="AO33" i="40"/>
  <c r="AO17" i="40"/>
  <c r="AO31" i="40"/>
  <c r="AL34" i="40"/>
  <c r="AO30" i="40"/>
  <c r="AO24" i="40"/>
  <c r="AT15" i="40" l="1"/>
  <c r="CC15" i="40" s="1"/>
  <c r="AT25" i="40"/>
  <c r="CC25" i="40" s="1"/>
  <c r="AT13" i="40"/>
  <c r="CC13" i="40" s="1"/>
  <c r="AT30" i="40"/>
  <c r="CC30" i="40" s="1"/>
  <c r="AT22" i="40"/>
  <c r="CC22" i="40" s="1"/>
  <c r="AT31" i="40"/>
  <c r="CC31" i="40" s="1"/>
  <c r="AT29" i="40"/>
  <c r="CC29" i="40" s="1"/>
  <c r="AT17" i="40"/>
  <c r="CC17" i="40" s="1"/>
  <c r="AT26" i="40"/>
  <c r="CC26" i="40" s="1"/>
  <c r="AT14" i="40"/>
  <c r="CC14" i="40" s="1"/>
  <c r="AT18" i="40"/>
  <c r="CC18" i="40" s="1"/>
  <c r="K36" i="40"/>
  <c r="K35" i="40"/>
  <c r="AT27" i="40"/>
  <c r="CC27" i="40" s="1"/>
  <c r="AT16" i="40"/>
  <c r="CC16" i="40" s="1"/>
  <c r="AT24" i="40"/>
  <c r="CC24" i="40" s="1"/>
  <c r="AT12" i="40"/>
  <c r="CC12" i="40" s="1"/>
  <c r="AT33" i="40"/>
  <c r="CC33" i="40" s="1"/>
  <c r="AT19" i="40"/>
  <c r="CC19" i="40" s="1"/>
  <c r="AT20" i="40"/>
  <c r="CC20" i="40" s="1"/>
  <c r="AT28" i="40"/>
  <c r="CC28" i="40" s="1"/>
  <c r="AT21" i="40"/>
  <c r="CC21" i="40" s="1"/>
  <c r="AT23" i="40"/>
  <c r="CC23" i="40" s="1"/>
  <c r="AS32" i="40"/>
  <c r="CA32" i="40" s="1"/>
  <c r="AT32" i="40"/>
  <c r="CC32" i="40" s="1"/>
  <c r="AT11" i="40"/>
  <c r="CC11" i="40" s="1"/>
  <c r="AO34" i="40"/>
  <c r="C46" i="40" s="1"/>
  <c r="C12" i="5" s="1"/>
  <c r="C14" i="5"/>
  <c r="E63" i="40"/>
  <c r="E62" i="40"/>
  <c r="F61" i="40"/>
  <c r="F60" i="40"/>
  <c r="F59" i="40"/>
  <c r="BO33" i="40"/>
  <c r="C61" i="40"/>
  <c r="D61" i="40"/>
  <c r="BR33" i="40"/>
  <c r="C64" i="40"/>
  <c r="D64" i="40"/>
  <c r="BQ33" i="40"/>
  <c r="C63" i="40"/>
  <c r="D63" i="40"/>
  <c r="D59" i="40"/>
  <c r="C59" i="40"/>
  <c r="D60" i="40"/>
  <c r="C60" i="40"/>
  <c r="BP33" i="40"/>
  <c r="C62" i="40"/>
  <c r="D62" i="40"/>
  <c r="E33" i="5"/>
  <c r="BM33" i="40"/>
  <c r="AE33" i="40"/>
  <c r="AC34" i="40"/>
  <c r="BN33" i="40"/>
  <c r="K34" i="40"/>
  <c r="CJ19" i="40"/>
  <c r="CH11" i="40"/>
  <c r="CI30" i="40"/>
  <c r="CI32" i="40"/>
  <c r="CI24" i="40"/>
  <c r="CI29" i="40"/>
  <c r="CI14" i="40"/>
  <c r="CI28" i="40"/>
  <c r="CI20" i="40"/>
  <c r="AS24" i="40"/>
  <c r="CA24" i="40" s="1"/>
  <c r="AS13" i="40"/>
  <c r="CA13" i="40" s="1"/>
  <c r="AS26" i="40"/>
  <c r="CA26" i="40" s="1"/>
  <c r="AS30" i="40"/>
  <c r="CA30" i="40" s="1"/>
  <c r="AS22" i="40"/>
  <c r="CA22" i="40" s="1"/>
  <c r="AS16" i="40"/>
  <c r="CA16" i="40" s="1"/>
  <c r="AS15" i="40"/>
  <c r="CA15" i="40" s="1"/>
  <c r="AS31" i="40"/>
  <c r="CA31" i="40" s="1"/>
  <c r="AS17" i="40"/>
  <c r="CA17" i="40" s="1"/>
  <c r="AS33" i="40"/>
  <c r="CA33" i="40" s="1"/>
  <c r="AS27" i="40"/>
  <c r="CA27" i="40" s="1"/>
  <c r="AS21" i="40"/>
  <c r="CA21" i="40" s="1"/>
  <c r="AS20" i="40"/>
  <c r="CA20" i="40" s="1"/>
  <c r="AS25" i="40"/>
  <c r="CA25" i="40" s="1"/>
  <c r="AS29" i="40"/>
  <c r="CA29" i="40" s="1"/>
  <c r="AS23" i="40"/>
  <c r="CA23" i="40" s="1"/>
  <c r="AS18" i="40"/>
  <c r="CA18" i="40" s="1"/>
  <c r="AS12" i="40"/>
  <c r="CA12" i="40" s="1"/>
  <c r="AS14" i="40"/>
  <c r="CA14" i="40" s="1"/>
  <c r="AS28" i="40"/>
  <c r="CA28" i="40" s="1"/>
  <c r="AS11" i="40"/>
  <c r="CA11" i="40" s="1"/>
  <c r="AS19" i="40"/>
  <c r="CA19" i="40" s="1"/>
  <c r="CI15" i="40"/>
  <c r="CI13" i="40"/>
  <c r="CI21" i="40"/>
  <c r="CI27" i="40"/>
  <c r="CI16" i="40"/>
  <c r="CN11" i="40"/>
  <c r="CI26" i="40"/>
  <c r="CI18" i="40"/>
  <c r="CI17" i="40"/>
  <c r="F6" i="7"/>
  <c r="R6" i="7" s="1"/>
  <c r="CI22" i="40"/>
  <c r="CI19" i="40"/>
  <c r="CO31" i="40"/>
  <c r="CO14" i="40"/>
  <c r="CN24" i="40"/>
  <c r="CO17" i="40"/>
  <c r="CO15" i="40"/>
  <c r="CN12" i="40"/>
  <c r="CO19" i="40"/>
  <c r="AP34" i="40"/>
  <c r="CO32" i="40"/>
  <c r="CO11" i="40"/>
  <c r="AZ34" i="40"/>
  <c r="BH34" i="40"/>
  <c r="AB34" i="40"/>
  <c r="CI31" i="40"/>
  <c r="CI11" i="40"/>
  <c r="CO26" i="40"/>
  <c r="CI23" i="40"/>
  <c r="S34" i="40"/>
  <c r="CI25" i="40"/>
  <c r="CO21" i="40"/>
  <c r="CI33" i="40"/>
  <c r="CO13" i="40"/>
  <c r="CI12" i="40"/>
  <c r="CM14" i="40"/>
  <c r="CP14" i="40" s="1"/>
  <c r="CM26" i="40"/>
  <c r="CP26" i="40" s="1"/>
  <c r="CM19" i="40"/>
  <c r="CP19" i="40" s="1"/>
  <c r="CM25" i="40"/>
  <c r="CP25" i="40" s="1"/>
  <c r="CQ25" i="40" s="1"/>
  <c r="CM11" i="40"/>
  <c r="CM12" i="40"/>
  <c r="CM16" i="40"/>
  <c r="CP16" i="40" s="1"/>
  <c r="CQ16" i="40" s="1"/>
  <c r="CM24" i="40"/>
  <c r="CM30" i="40"/>
  <c r="CP30" i="40" s="1"/>
  <c r="CM31" i="40"/>
  <c r="CM17" i="40"/>
  <c r="CP17" i="40" s="1"/>
  <c r="CM33" i="40"/>
  <c r="CP33" i="40" s="1"/>
  <c r="CQ33" i="40" s="1"/>
  <c r="CM20" i="40"/>
  <c r="CP20" i="40" s="1"/>
  <c r="CQ20" i="40" s="1"/>
  <c r="CM18" i="40"/>
  <c r="CP18" i="40" s="1"/>
  <c r="CQ18" i="40" s="1"/>
  <c r="CM28" i="40"/>
  <c r="CP28" i="40" s="1"/>
  <c r="CQ28" i="40" s="1"/>
  <c r="CM27" i="40"/>
  <c r="CP27" i="40" s="1"/>
  <c r="CM21" i="40"/>
  <c r="CP21" i="40" s="1"/>
  <c r="CM23" i="40"/>
  <c r="CP23" i="40" s="1"/>
  <c r="CQ23" i="40" s="1"/>
  <c r="CM13" i="40"/>
  <c r="CP13" i="40" s="1"/>
  <c r="CM22" i="40"/>
  <c r="CP22" i="40" s="1"/>
  <c r="CQ22" i="40" s="1"/>
  <c r="CM15" i="40"/>
  <c r="CP15" i="40" s="1"/>
  <c r="CN31" i="40"/>
  <c r="CM29" i="40"/>
  <c r="CP29" i="40" s="1"/>
  <c r="CQ29" i="40" s="1"/>
  <c r="CO27" i="40"/>
  <c r="CM32" i="40"/>
  <c r="CP32" i="40" s="1"/>
  <c r="CO30" i="40"/>
  <c r="AE34" i="40" l="1"/>
  <c r="AF34" i="40" s="1"/>
  <c r="AE35" i="40"/>
  <c r="AE36" i="40"/>
  <c r="AT34" i="40"/>
  <c r="AU11" i="40"/>
  <c r="AS34" i="40"/>
  <c r="C49" i="40" s="1"/>
  <c r="L6" i="7"/>
  <c r="X6" i="7" s="1"/>
  <c r="AR6" i="7" s="1"/>
  <c r="AF33" i="40"/>
  <c r="CE33" i="40"/>
  <c r="CE10" i="40"/>
  <c r="CJ14" i="40"/>
  <c r="CJ33" i="40"/>
  <c r="CH25" i="40"/>
  <c r="CK25" i="40" s="1"/>
  <c r="CJ30" i="40"/>
  <c r="CJ16" i="40"/>
  <c r="CJ11" i="40"/>
  <c r="CJ23" i="40"/>
  <c r="CB24" i="40"/>
  <c r="CJ15" i="40"/>
  <c r="CH20" i="40"/>
  <c r="CK20" i="40" s="1"/>
  <c r="CJ17" i="40"/>
  <c r="CJ29" i="40"/>
  <c r="CH23" i="40"/>
  <c r="CK23" i="40" s="1"/>
  <c r="CJ25" i="40"/>
  <c r="CJ18" i="40"/>
  <c r="CH30" i="40"/>
  <c r="CK30" i="40" s="1"/>
  <c r="CJ27" i="40"/>
  <c r="CH15" i="40"/>
  <c r="CK15" i="40" s="1"/>
  <c r="CB27" i="40"/>
  <c r="CH19" i="40"/>
  <c r="CK19" i="40" s="1"/>
  <c r="CL19" i="40" s="1"/>
  <c r="CH14" i="40"/>
  <c r="CK14" i="40" s="1"/>
  <c r="CJ22" i="40"/>
  <c r="CJ28" i="40"/>
  <c r="B13" i="5"/>
  <c r="CH18" i="40"/>
  <c r="CK18" i="40" s="1"/>
  <c r="CH29" i="40"/>
  <c r="CK29" i="40" s="1"/>
  <c r="CH33" i="40"/>
  <c r="CK33" i="40" s="1"/>
  <c r="CJ24" i="40"/>
  <c r="CJ26" i="40"/>
  <c r="CH16" i="40"/>
  <c r="CK16" i="40" s="1"/>
  <c r="CH32" i="40"/>
  <c r="CK32" i="40" s="1"/>
  <c r="CH31" i="40"/>
  <c r="CK31" i="40" s="1"/>
  <c r="CH13" i="40"/>
  <c r="CK13" i="40" s="1"/>
  <c r="CH27" i="40"/>
  <c r="CK27" i="40" s="1"/>
  <c r="CJ13" i="40"/>
  <c r="CH12" i="40"/>
  <c r="CK12" i="40" s="1"/>
  <c r="CJ12" i="40"/>
  <c r="CH21" i="40"/>
  <c r="CK21" i="40" s="1"/>
  <c r="CH17" i="40"/>
  <c r="CK17" i="40" s="1"/>
  <c r="CJ21" i="40"/>
  <c r="CH22" i="40"/>
  <c r="CK22" i="40" s="1"/>
  <c r="CH24" i="40"/>
  <c r="CK24" i="40" s="1"/>
  <c r="CJ31" i="40"/>
  <c r="CH28" i="40"/>
  <c r="CK28" i="40" s="1"/>
  <c r="CJ32" i="40"/>
  <c r="CH26" i="40"/>
  <c r="CK26" i="40" s="1"/>
  <c r="CJ20" i="40"/>
  <c r="CB31" i="40"/>
  <c r="CB19" i="40"/>
  <c r="CB28" i="40"/>
  <c r="CB14" i="40"/>
  <c r="CB12" i="40"/>
  <c r="CB18" i="40"/>
  <c r="CB23" i="40"/>
  <c r="CB29" i="40"/>
  <c r="CB25" i="40"/>
  <c r="CB20" i="40"/>
  <c r="CB21" i="40"/>
  <c r="CB32" i="40"/>
  <c r="CB17" i="40"/>
  <c r="AV15" i="40"/>
  <c r="CB15" i="40"/>
  <c r="CB16" i="40"/>
  <c r="CB22" i="40"/>
  <c r="CB30" i="40"/>
  <c r="CB26" i="40"/>
  <c r="AV13" i="40"/>
  <c r="CB13" i="40"/>
  <c r="CB11" i="40"/>
  <c r="R34" i="40"/>
  <c r="CK11" i="40"/>
  <c r="CQ13" i="40"/>
  <c r="CD31" i="40"/>
  <c r="AU16" i="40"/>
  <c r="CQ15" i="40"/>
  <c r="CQ32" i="40"/>
  <c r="CQ17" i="40"/>
  <c r="CQ14" i="40"/>
  <c r="CE12" i="40"/>
  <c r="CQ19" i="40"/>
  <c r="AU12" i="40"/>
  <c r="CQ26" i="40"/>
  <c r="AU25" i="40"/>
  <c r="CP24" i="40"/>
  <c r="CQ24" i="40" s="1"/>
  <c r="CP12" i="40"/>
  <c r="CQ12" i="40" s="1"/>
  <c r="CE16" i="40"/>
  <c r="CQ21" i="40"/>
  <c r="CP31" i="40"/>
  <c r="CQ31" i="40" s="1"/>
  <c r="CP11" i="40"/>
  <c r="CQ11" i="40" s="1"/>
  <c r="CE19" i="40"/>
  <c r="CQ27" i="40"/>
  <c r="CQ30" i="40"/>
  <c r="CE29" i="40"/>
  <c r="AU29" i="40"/>
  <c r="AU15" i="40"/>
  <c r="CE15" i="40"/>
  <c r="AU13" i="40"/>
  <c r="CE13" i="40"/>
  <c r="CE21" i="40"/>
  <c r="AU21" i="40"/>
  <c r="CE28" i="40"/>
  <c r="AU28" i="40"/>
  <c r="CE20" i="40"/>
  <c r="AU20" i="40"/>
  <c r="CE17" i="40"/>
  <c r="AU17" i="40"/>
  <c r="CE24" i="40"/>
  <c r="AU24" i="40"/>
  <c r="AF36" i="40" l="1"/>
  <c r="AF35" i="40"/>
  <c r="E32" i="5"/>
  <c r="AU33" i="40"/>
  <c r="CB33" i="40"/>
  <c r="CF33" i="40"/>
  <c r="C15" i="5"/>
  <c r="C28" i="5" s="1"/>
  <c r="CD10" i="40"/>
  <c r="CL14" i="40"/>
  <c r="CL31" i="40"/>
  <c r="CL33" i="40"/>
  <c r="CF20" i="40"/>
  <c r="CL16" i="40"/>
  <c r="CD29" i="40"/>
  <c r="CL23" i="40"/>
  <c r="CL17" i="40"/>
  <c r="G6" i="7"/>
  <c r="S6" i="7" s="1"/>
  <c r="AI6" i="7" s="1"/>
  <c r="AV29" i="40"/>
  <c r="CL30" i="40"/>
  <c r="CL28" i="40"/>
  <c r="CE11" i="40"/>
  <c r="CL21" i="40"/>
  <c r="CL22" i="40"/>
  <c r="CF28" i="40"/>
  <c r="CL11" i="40"/>
  <c r="CF17" i="40"/>
  <c r="AV33" i="40"/>
  <c r="CF29" i="40"/>
  <c r="CL27" i="40"/>
  <c r="CD24" i="40"/>
  <c r="CL25" i="40"/>
  <c r="CL24" i="40"/>
  <c r="CL29" i="40"/>
  <c r="CL15" i="40"/>
  <c r="CL18" i="40"/>
  <c r="AV24" i="40"/>
  <c r="CD17" i="40"/>
  <c r="CD21" i="40"/>
  <c r="CF15" i="40"/>
  <c r="CD12" i="40"/>
  <c r="CL12" i="40"/>
  <c r="CD33" i="40"/>
  <c r="CF12" i="40"/>
  <c r="AV21" i="40"/>
  <c r="AV14" i="40"/>
  <c r="CF24" i="40"/>
  <c r="AV12" i="40"/>
  <c r="AV17" i="40"/>
  <c r="CD15" i="40"/>
  <c r="CL26" i="40"/>
  <c r="CL32" i="40"/>
  <c r="CD30" i="40"/>
  <c r="CD13" i="40"/>
  <c r="AV20" i="40"/>
  <c r="CF13" i="40"/>
  <c r="AV27" i="40"/>
  <c r="CF21" i="40"/>
  <c r="CD32" i="40"/>
  <c r="AV16" i="40"/>
  <c r="AV22" i="40"/>
  <c r="CF16" i="40"/>
  <c r="AV28" i="40"/>
  <c r="CL13" i="40"/>
  <c r="CD28" i="40"/>
  <c r="CL20" i="40"/>
  <c r="CD16" i="40"/>
  <c r="CD23" i="40"/>
  <c r="AV18" i="40"/>
  <c r="CD20" i="40"/>
  <c r="AU18" i="40"/>
  <c r="CE18" i="40"/>
  <c r="CF18" i="40"/>
  <c r="CD18" i="40"/>
  <c r="AV23" i="40"/>
  <c r="AU31" i="40"/>
  <c r="CE31" i="40"/>
  <c r="CF31" i="40"/>
  <c r="AV31" i="40"/>
  <c r="CE30" i="40"/>
  <c r="AU30" i="40"/>
  <c r="CF30" i="40"/>
  <c r="AV30" i="40"/>
  <c r="CE32" i="40"/>
  <c r="CE22" i="40"/>
  <c r="CF22" i="40"/>
  <c r="AU22" i="40"/>
  <c r="CF14" i="40"/>
  <c r="CE23" i="40"/>
  <c r="AU23" i="40"/>
  <c r="CF27" i="40"/>
  <c r="AU32" i="40"/>
  <c r="CD22" i="40"/>
  <c r="CD14" i="40"/>
  <c r="AU14" i="40"/>
  <c r="CE14" i="40"/>
  <c r="CF23" i="40"/>
  <c r="CD27" i="40"/>
  <c r="AU27" i="40"/>
  <c r="AU19" i="40"/>
  <c r="CE25" i="40"/>
  <c r="AV32" i="40"/>
  <c r="CF32" i="40"/>
  <c r="CE26" i="40"/>
  <c r="AU26" i="40"/>
  <c r="CE27" i="40"/>
  <c r="C25" i="5" l="1"/>
  <c r="C35" i="5"/>
  <c r="C50" i="40"/>
  <c r="C16" i="5" s="1"/>
  <c r="E36" i="5" s="1"/>
  <c r="AU34" i="40"/>
  <c r="CD19" i="40"/>
  <c r="AV19" i="40"/>
  <c r="CF19" i="40"/>
  <c r="CD25" i="40"/>
  <c r="AV25" i="40"/>
  <c r="CF25" i="40"/>
  <c r="CD26" i="40"/>
  <c r="AV26" i="40"/>
  <c r="CF26" i="40"/>
  <c r="CD11" i="40"/>
  <c r="AV11" i="40"/>
  <c r="CF11" i="40"/>
  <c r="V7" i="7" l="1"/>
  <c r="AP7" i="7" s="1"/>
  <c r="C32" i="5"/>
  <c r="AV34" i="40"/>
  <c r="E15" i="5"/>
  <c r="D15" i="5"/>
  <c r="D32" i="5" l="1"/>
  <c r="D25" i="5"/>
  <c r="C34" i="5" l="1"/>
  <c r="D34" i="5" s="1"/>
  <c r="E35" i="5" l="1"/>
  <c r="E12" i="5" l="1"/>
  <c r="D12" i="5"/>
  <c r="E13" i="5" l="1"/>
  <c r="C33" i="5"/>
  <c r="D35" i="5" s="1"/>
  <c r="D14" i="5"/>
  <c r="E34" i="5"/>
  <c r="E14" i="5"/>
  <c r="D33" i="5" l="1"/>
  <c r="D36" i="5" s="1"/>
  <c r="F35" i="5" l="1"/>
  <c r="G36" i="5"/>
  <c r="S10" i="7" l="1"/>
  <c r="U10" i="7" s="1"/>
  <c r="S11" i="7"/>
  <c r="S12" i="7"/>
  <c r="S13" i="7"/>
  <c r="R11" i="7"/>
  <c r="R12" i="7"/>
  <c r="R13" i="7"/>
  <c r="Q11" i="7"/>
  <c r="Q12" i="7"/>
  <c r="Q13" i="7"/>
  <c r="AI12" i="7" l="1"/>
  <c r="AI13" i="7"/>
  <c r="AH12" i="7"/>
  <c r="AH13" i="7"/>
  <c r="D28" i="5" l="1"/>
  <c r="C39" i="3" l="1"/>
  <c r="D26" i="2"/>
  <c r="E16" i="5" l="1"/>
  <c r="D27" i="5"/>
  <c r="D13" i="5"/>
  <c r="D16" i="5" l="1"/>
  <c r="D13" i="7" l="1"/>
  <c r="D12" i="7"/>
  <c r="D11" i="7"/>
  <c r="D10" i="7"/>
  <c r="D38" i="3"/>
  <c r="D37" i="3"/>
  <c r="D36" i="3"/>
  <c r="D35" i="3"/>
  <c r="D34" i="3"/>
  <c r="D33" i="3"/>
  <c r="D32" i="3"/>
  <c r="D31" i="3"/>
  <c r="D30" i="3"/>
  <c r="D29" i="3"/>
  <c r="D28" i="3"/>
  <c r="D27" i="3"/>
  <c r="C40" i="3" l="1"/>
  <c r="D39" i="3"/>
  <c r="U13" i="7"/>
  <c r="U12" i="7"/>
  <c r="D2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MAUAM</author>
    <author>tc={4D49D048-1281-411C-8EA6-7C4B48350CFC}</author>
  </authors>
  <commentList>
    <comment ref="B5" authorId="0" shapeId="0" xr:uid="{9F955F25-FCE5-4B19-B031-6157254D4529}">
      <text>
        <r>
          <rPr>
            <b/>
            <sz val="9"/>
            <color indexed="81"/>
            <rFont val="Tahoma"/>
            <family val="2"/>
          </rPr>
          <t xml:space="preserve">atualizar com a c10 - patricio
</t>
        </r>
      </text>
    </comment>
    <comment ref="D26" authorId="1" shapeId="0" xr:uid="{4D49D048-1281-411C-8EA6-7C4B48350CFC}">
      <text>
        <t>[Threaded comment]
Your version of Excel allows you to read this threaded comment; however, any edits to it will get removed if the file is opened in a newer version of Excel. Learn more: https://go.microsoft.com/fwlink/?linkid=870924
[Tasks]
There is a task anchored to this comment that cannot be viewed in your client.
Comment:
    @Mauricio Anízio de Amorim (Swift Technical Serv Tec Espec) não devemos normalizar essa parte de cima não. Entendo que deveria ir até c10+ e que o valor apresentado já seria normalizado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tc={2ADE6078-6A96-4AD7-8B28-D8E5C28C896A}</author>
    <author>MAUAM</author>
    <author>tc={4058E12D-2F95-4982-A119-A8D458894CCA}</author>
  </authors>
  <commentList>
    <comment ref="AP9" authorId="0" shapeId="0" xr:uid="{2ADE6078-6A96-4AD7-8B28-D8E5C28C896A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fins de comparação ao usar o dado do cv vs dado calculado com densidade 
kab</t>
      </text>
    </comment>
    <comment ref="AZ9" authorId="1" shapeId="0" xr:uid="{CE9B9035-B7F6-4D3F-856B-140BCD4AA7D9}">
      <text>
        <r>
          <rPr>
            <b/>
            <sz val="9"/>
            <color indexed="81"/>
            <rFont val="Tahoma"/>
            <family val="2"/>
          </rPr>
          <t xml:space="preserve">descontar a água. Assim encontramos o volume liquido não estabilizado.
</t>
        </r>
      </text>
    </comment>
    <comment ref="BA9" authorId="1" shapeId="0" xr:uid="{C4EDA528-2428-45F0-9B4D-50BBF16203A9}">
      <text>
        <r>
          <rPr>
            <b/>
            <sz val="9"/>
            <color indexed="81"/>
            <rFont val="Tahoma"/>
            <family val="2"/>
          </rPr>
          <t>descontar gás dissolvido</t>
        </r>
      </text>
    </comment>
    <comment ref="BD9" authorId="1" shapeId="0" xr:uid="{3CC60516-89B7-416B-9A3A-D3F039F3FD8D}">
      <text>
        <r>
          <rPr>
            <b/>
            <sz val="9"/>
            <color indexed="81"/>
            <rFont val="Tahoma"/>
            <family val="2"/>
          </rPr>
          <t>contabilizar gás dissolvido</t>
        </r>
      </text>
    </comment>
    <comment ref="AX37" authorId="1" shapeId="0" xr:uid="{193CE679-D576-41A2-8D4B-2EDF27BC1E49}">
      <text>
        <r>
          <rPr>
            <b/>
            <sz val="9"/>
            <color indexed="81"/>
            <rFont val="Tahoma"/>
            <family val="2"/>
          </rPr>
          <t>É sobre este NSV que FE e RS atuam.</t>
        </r>
      </text>
    </comment>
    <comment ref="BD40" authorId="1" shapeId="0" xr:uid="{1A8A7A67-1F51-4CC3-BCBB-CC000A5AEDEA}">
      <text>
        <r>
          <rPr>
            <b/>
            <sz val="9"/>
            <color indexed="81"/>
            <rFont val="Tahoma"/>
            <family val="2"/>
          </rPr>
          <t>descontar gás dissolvido</t>
        </r>
      </text>
    </comment>
    <comment ref="X55" authorId="2" shapeId="0" xr:uid="{4058E12D-2F95-4982-A119-A8D458894CCA}">
      <text>
        <t>[Threaded comment]
Your version of Excel allows you to read this threaded comment; however, any edits to it will get removed if the file is opened in a newer version of Excel. Learn more: https://go.microsoft.com/fwlink/?linkid=870924
Comment:
    04/03/2026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tc={26C4CBA5-3ADE-4C09-A4A9-8F80C7960D7B}</author>
    <author>MAUAM</author>
  </authors>
  <commentList>
    <comment ref="AO9" authorId="0" shapeId="0" xr:uid="{26C4CBA5-3ADE-4C09-A4A9-8F80C7960D7B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fins de comparação ao usar o dado do cv vs dado calculado com densidade 
kab</t>
      </text>
    </comment>
    <comment ref="AY9" authorId="1" shapeId="0" xr:uid="{16FE1E46-0748-436E-A1BC-CADE3F28A693}">
      <text>
        <r>
          <rPr>
            <b/>
            <sz val="9"/>
            <color indexed="81"/>
            <rFont val="Tahoma"/>
            <family val="2"/>
          </rPr>
          <t xml:space="preserve">descontar a água. Assim encontramos o volume liquido não estabilizado.
</t>
        </r>
      </text>
    </comment>
    <comment ref="AZ9" authorId="1" shapeId="0" xr:uid="{63EF946C-C57A-494C-85AD-CCB46479BDA1}">
      <text>
        <r>
          <rPr>
            <b/>
            <sz val="9"/>
            <color indexed="81"/>
            <rFont val="Tahoma"/>
            <family val="2"/>
          </rPr>
          <t>descontar gás dissolvido</t>
        </r>
      </text>
    </comment>
    <comment ref="BC9" authorId="1" shapeId="0" xr:uid="{FB69667C-48E9-4C6A-9AF1-1109E55CA7C9}">
      <text>
        <r>
          <rPr>
            <b/>
            <sz val="9"/>
            <color indexed="81"/>
            <rFont val="Tahoma"/>
            <family val="2"/>
          </rPr>
          <t>contabilizar gás dissolvido</t>
        </r>
      </text>
    </comment>
    <comment ref="BE40" authorId="1" shapeId="0" xr:uid="{6A129D2D-D412-4DF4-A917-D7FA323E63E4}">
      <text>
        <r>
          <rPr>
            <b/>
            <sz val="9"/>
            <color indexed="81"/>
            <rFont val="Tahoma"/>
            <family val="2"/>
          </rPr>
          <t>descontar gás dissolvido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tc={D5EE4AE2-25BA-4C2D-BAAE-03BF5371E9A0}</author>
    <author>MAUAM</author>
  </authors>
  <commentList>
    <comment ref="AO9" authorId="0" shapeId="0" xr:uid="{D5EE4AE2-25BA-4C2D-BAAE-03BF5371E9A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fins de comparação ao usar o dado do cv vs dado calculado com densidade 
kab</t>
      </text>
    </comment>
    <comment ref="AY9" authorId="1" shapeId="0" xr:uid="{248F18AC-4026-43EF-944B-FB73AD5D2370}">
      <text>
        <r>
          <rPr>
            <b/>
            <sz val="9"/>
            <color indexed="81"/>
            <rFont val="Tahoma"/>
            <family val="2"/>
          </rPr>
          <t xml:space="preserve">descontar a água. Assim encontramos o volume liquido não estabilizado.
</t>
        </r>
      </text>
    </comment>
    <comment ref="AZ9" authorId="1" shapeId="0" xr:uid="{9F87775C-7A90-4C1E-931F-32CA6D1BC119}">
      <text>
        <r>
          <rPr>
            <b/>
            <sz val="9"/>
            <color indexed="81"/>
            <rFont val="Tahoma"/>
            <family val="2"/>
          </rPr>
          <t>descontar gás dissolvido</t>
        </r>
      </text>
    </comment>
    <comment ref="BC9" authorId="1" shapeId="0" xr:uid="{58E7482E-EE0B-457D-8424-A346C44EC5E4}">
      <text>
        <r>
          <rPr>
            <b/>
            <sz val="9"/>
            <color indexed="81"/>
            <rFont val="Tahoma"/>
            <family val="2"/>
          </rPr>
          <t>contabilizar gás dissolvido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<sst xmlns="http://schemas.openxmlformats.org/spreadsheetml/2006/main" count="2340" uniqueCount="744">
  <si>
    <t>FORMULÁRIO CALIBRAÇÃO MPFM</t>
  </si>
  <si>
    <t>01 – Registro do Evento / Instrumento (Rastreabilidade)</t>
  </si>
  <si>
    <t>Identificação do Responsável e Autoridade</t>
  </si>
  <si>
    <t>ID do Evento/Relatório</t>
  </si>
  <si>
    <t>CAL-MPFM_SUB-COM-03-26 rev.0</t>
  </si>
  <si>
    <t>Status</t>
  </si>
  <si>
    <t>Em Andamento</t>
  </si>
  <si>
    <t>Operador</t>
  </si>
  <si>
    <t>Equinor Brasil Energia Ltda.</t>
  </si>
  <si>
    <t>Resultado</t>
  </si>
  <si>
    <t>INCOMPLETO</t>
  </si>
  <si>
    <t>Ordem de Serviço (S.O.)</t>
  </si>
  <si>
    <t>-</t>
  </si>
  <si>
    <t>Responsável Calibração – Nome/Cargo</t>
  </si>
  <si>
    <t>Gabriel Chargue</t>
  </si>
  <si>
    <t>Preenchido por - Nome/Cargo</t>
  </si>
  <si>
    <t>Mauricio Amorim</t>
  </si>
  <si>
    <t>Data de Emissão</t>
  </si>
  <si>
    <t>Dados da Instalação</t>
  </si>
  <si>
    <t>Unidade / FPSO</t>
  </si>
  <si>
    <t>FPSO Bacalhau</t>
  </si>
  <si>
    <t>Bacia / Campo</t>
  </si>
  <si>
    <t>Santos / Bacalhau</t>
  </si>
  <si>
    <t>Localização na Planta</t>
  </si>
  <si>
    <t>MEDIDOR SUBSEA (PW-104 - 18-FT-1106)</t>
  </si>
  <si>
    <t>Referência Metrológica (Autorizada)</t>
  </si>
  <si>
    <t>Separador de Teste - TAG: 20VA121</t>
  </si>
  <si>
    <t>Identificação do Instrumento (MPFM)</t>
  </si>
  <si>
    <t>TAG do MPFM</t>
  </si>
  <si>
    <t>18-FT-1106</t>
  </si>
  <si>
    <t>Número de Série (S/N)</t>
  </si>
  <si>
    <t>Fabricante / Modelo</t>
  </si>
  <si>
    <t>TechnipFMC / MPM High-Performance Flowmeter</t>
  </si>
  <si>
    <t>Tamanho / Razão Beta</t>
  </si>
  <si>
    <t xml:space="preserve">5” ß = 0.7 MPM </t>
  </si>
  <si>
    <t>Modo de Medição Ativo</t>
  </si>
  <si>
    <t>Dual Mode</t>
  </si>
  <si>
    <t>Sitema</t>
  </si>
  <si>
    <t>PW-104DA</t>
  </si>
  <si>
    <t>Configuração de Software e Integridade</t>
  </si>
  <si>
    <t>Versão de Software (Medidor)</t>
  </si>
  <si>
    <t>FW-MPM-BAC-v1.12.3</t>
  </si>
  <si>
    <t>Versão do Computador de Vazão FPM207</t>
  </si>
  <si>
    <t>v2.8.5</t>
  </si>
  <si>
    <t>Versão do Software FCS320</t>
  </si>
  <si>
    <t>v3.4.1 Build 210</t>
  </si>
  <si>
    <t>Software de Simulação (Calsep PVTsim)</t>
  </si>
  <si>
    <t>v23.1.0</t>
  </si>
  <si>
    <t>Escopo e Período do Teste de Calibração</t>
  </si>
  <si>
    <t>Natureza da Atividade (Comissionamento / Recalibração / Desvio)</t>
  </si>
  <si>
    <t>Comissionamento - PW-104DA - 18-FT-1106</t>
  </si>
  <si>
    <t>Início da Totalização (24h)</t>
  </si>
  <si>
    <t>Início da Estabilização (dd/mm/aaaa hh:mm)</t>
  </si>
  <si>
    <t>Fim da Totalização</t>
  </si>
  <si>
    <t>ID do Evento de Desvio (se aplicável)</t>
  </si>
  <si>
    <t>Duração Total Efetiva (h) – calculada</t>
  </si>
  <si>
    <t>Comentários Gerais</t>
  </si>
  <si>
    <t>MPFM Subsea foi calibrado em condição operacional acima do ponto de bolha. Dessa forma, determinou-se apenas o fator de calibração (ou reconciliação) de óleo, a partir do fator de HC.
O novo fator K_Óleo foi calculado e aplicado. O monitoramento nos dias subsequentes, nos quais tanto o medidor quanto o separador estiveram alinhados durante às 24 h do dia mostram que a calibração foi bem sucedida e que os resultados são satisfatórios e suficientes para declarar o medidor comissionado e apto para o uso em apropriação contínua da produção.</t>
  </si>
  <si>
    <t>Condições de Contorno</t>
  </si>
  <si>
    <t>Parâmetro</t>
  </si>
  <si>
    <t>Mínimo</t>
  </si>
  <si>
    <t>Máximo</t>
  </si>
  <si>
    <t>Média</t>
  </si>
  <si>
    <r>
      <t xml:space="preserve">GVF% - </t>
    </r>
    <r>
      <rPr>
        <b/>
        <sz val="10"/>
        <rFont val="Calibri"/>
        <family val="2"/>
      </rPr>
      <t>Fração Volumétrica de Gás</t>
    </r>
  </si>
  <si>
    <r>
      <t xml:space="preserve">WLR% - </t>
    </r>
    <r>
      <rPr>
        <b/>
        <sz val="10"/>
        <rFont val="Calibri"/>
        <family val="2"/>
      </rPr>
      <t>Razão Água Líquido</t>
    </r>
  </si>
  <si>
    <r>
      <t xml:space="preserve">WVF% - </t>
    </r>
    <r>
      <rPr>
        <b/>
        <sz val="10"/>
        <rFont val="Calibri"/>
        <family val="2"/>
      </rPr>
      <t>Fração Volumétrica de Água</t>
    </r>
  </si>
  <si>
    <t>Salinidade (mg/L)</t>
  </si>
  <si>
    <t>Vazões mássicas por fase - Óleo (t)</t>
  </si>
  <si>
    <t>Vazões mássicas por fase - Gás (t)</t>
  </si>
  <si>
    <t>Vazões mássicas por fase - Água (t)</t>
  </si>
  <si>
    <t>Vazões volumétricas por fase - Óleo (Sm³)</t>
  </si>
  <si>
    <t>Vazões volumétricas por fase - Gás (Mil Sm³)</t>
  </si>
  <si>
    <t>Vazões volumétricas por fase - Água (m³)</t>
  </si>
  <si>
    <t>Pressão (MPFM) (kPa)</t>
  </si>
  <si>
    <t>Temperatura (MPFM) (°C)</t>
  </si>
  <si>
    <t>Diferencial de Pressão (dP) kPa</t>
  </si>
  <si>
    <t>Velocidade (m/s)</t>
  </si>
  <si>
    <t>Viscosidade</t>
  </si>
  <si>
    <t>periodo</t>
  </si>
  <si>
    <t xml:space="preserve">FORMULÁRIO CALIBRAÇÃO MPFM </t>
  </si>
  <si>
    <t>ID do Relatório Laboratorial</t>
  </si>
  <si>
    <t>Data da Amostragem</t>
  </si>
  <si>
    <t>Ponto de Amostragem</t>
  </si>
  <si>
    <t>Software de Modelagem (PVTSim/Multiflash/etc.)</t>
  </si>
  <si>
    <t>Versão/Arquivo do Modelo (ex.: .mfl/.fdb)</t>
  </si>
  <si>
    <t>Aprovado</t>
  </si>
  <si>
    <t>Status de Aprovação Técnica 
(PVT GROUP / Especialista PVT)</t>
  </si>
  <si>
    <t>Data de Aprovação</t>
  </si>
  <si>
    <t>Comentários:</t>
  </si>
  <si>
    <t>Propriedades de Referência (@std) e entradas simplificadas (quando aplicável)</t>
  </si>
  <si>
    <t>Unid.</t>
  </si>
  <si>
    <t>Valor (entrada)</t>
  </si>
  <si>
    <t>Observação/Fonte</t>
  </si>
  <si>
    <t>Densidade Óleo @std</t>
  </si>
  <si>
    <t>kg/m³</t>
  </si>
  <si>
    <t>Tabela C10 / Relatório PVT</t>
  </si>
  <si>
    <t>Densidade Gás @std</t>
  </si>
  <si>
    <t>Densidade Água @std</t>
  </si>
  <si>
    <t>RGO (Razão Gás-Óleo) @std</t>
  </si>
  <si>
    <t>Sm³/Sm³</t>
  </si>
  <si>
    <t>Relatório PVT / amostra</t>
  </si>
  <si>
    <t>Condutividade água formação</t>
  </si>
  <si>
    <t>µS/cm</t>
  </si>
  <si>
    <t>Base de dados / lab</t>
  </si>
  <si>
    <t>Densidade água formação @std</t>
  </si>
  <si>
    <t>Salinidade típica (NaCl)</t>
  </si>
  <si>
    <t>g/L</t>
  </si>
  <si>
    <t>Composição molar (mol%) – entrada e checagem de normalização</t>
  </si>
  <si>
    <t>Componente</t>
  </si>
  <si>
    <t>Massa Molar (kg/kmol)</t>
  </si>
  <si>
    <t>mol% (entrada)</t>
  </si>
  <si>
    <t>mol% (normalizado)</t>
  </si>
  <si>
    <t>kmol/h (opcional)</t>
  </si>
  <si>
    <t>N2</t>
  </si>
  <si>
    <t>CO2</t>
  </si>
  <si>
    <t>H2S</t>
  </si>
  <si>
    <t>C1</t>
  </si>
  <si>
    <t>C2</t>
  </si>
  <si>
    <t>C3</t>
  </si>
  <si>
    <t>iC4</t>
  </si>
  <si>
    <t>nC4</t>
  </si>
  <si>
    <t>iC5</t>
  </si>
  <si>
    <t>nC5</t>
  </si>
  <si>
    <t>C6</t>
  </si>
  <si>
    <t>C7+</t>
  </si>
  <si>
    <t>Soma mol% (entrada)</t>
  </si>
  <si>
    <t>MW mistura (kg/kmol) – pela composição normalizada</t>
  </si>
  <si>
    <t>Parâmetros de frações pesadas (quando exigido pelo modelo)</t>
  </si>
  <si>
    <t>Fração</t>
  </si>
  <si>
    <t>Peso Molecular (g/mol)</t>
  </si>
  <si>
    <t>Densidade @std (kg/Sm³)</t>
  </si>
  <si>
    <t>Observação</t>
  </si>
  <si>
    <t>C7</t>
  </si>
  <si>
    <t>C8</t>
  </si>
  <si>
    <t>C9</t>
  </si>
  <si>
    <t>C10+</t>
  </si>
  <si>
    <t>Fatores Peneloux (volume shift) – quando aplicável</t>
  </si>
  <si>
    <t>Fator</t>
  </si>
  <si>
    <t>Função</t>
  </si>
  <si>
    <t>Peneloux 1</t>
  </si>
  <si>
    <t>Correção densidade fase gás</t>
  </si>
  <si>
    <t>Peneloux 2</t>
  </si>
  <si>
    <t>Correção densidade fase óleo</t>
  </si>
  <si>
    <t>Controle de aplicação do novo PVT (evidência operacional)</t>
  </si>
  <si>
    <t>Item</t>
  </si>
  <si>
    <t>Valor</t>
  </si>
  <si>
    <t>Status do PVT no MPFM (Terminal MPM)</t>
  </si>
  <si>
    <t>Status do PVT no FCS320</t>
  </si>
  <si>
    <t>Pressão de Linha (MPFM) durante calibração (barg)</t>
  </si>
  <si>
    <t>Temperatura de Linha (MPFM) durante calibração (°C)</t>
  </si>
  <si>
    <t>Estabilização do Fluxo confirmada?</t>
  </si>
  <si>
    <t>02 – Atualização PVT (Nova caracterização) e parâmetros correlatos</t>
  </si>
  <si>
    <t>Identificação do Relatório PVT / Amostragem</t>
  </si>
  <si>
    <t>SLB -  P.1077663_2025BRRD-P004039-J0001_v01</t>
  </si>
  <si>
    <t>Separador</t>
  </si>
  <si>
    <t>Os valores utilizados dos parâmetros de PVT são os apresentados na aba "Composition_Table_PVT"</t>
  </si>
  <si>
    <t>Fator de encolhimento do óleo</t>
  </si>
  <si>
    <t>OK</t>
  </si>
  <si>
    <t>Pressão da Referência (Separador) durante calibração (barg)</t>
  </si>
  <si>
    <t>Temperatura da Referência (Separador) durante calibração (°C)</t>
  </si>
  <si>
    <t>Sim</t>
  </si>
  <si>
    <t>Initial in North East and North West wells</t>
  </si>
  <si>
    <t>Initial in South East and South West wells</t>
  </si>
  <si>
    <t>Estimated GOR (Sm3/Sm3) based on the Bacalhau separation process below</t>
  </si>
  <si>
    <t>Composition name</t>
  </si>
  <si>
    <t>Mol%</t>
  </si>
  <si>
    <t>Composition given in</t>
  </si>
  <si>
    <t>I-C4</t>
  </si>
  <si>
    <t>N-C4</t>
  </si>
  <si>
    <t>I-C5</t>
  </si>
  <si>
    <t>N-C5</t>
  </si>
  <si>
    <t>C10+ mol wgt</t>
  </si>
  <si>
    <t>C10+ Density (gr/cc)</t>
  </si>
  <si>
    <t>C7 MolWt</t>
  </si>
  <si>
    <t>C8 MolWt</t>
  </si>
  <si>
    <t>C9 MolWt</t>
  </si>
  <si>
    <t>C10+ MolWt</t>
  </si>
  <si>
    <t>C7 Density (kg/Sm3)</t>
  </si>
  <si>
    <t>C8 Density (kg/Sm3)</t>
  </si>
  <si>
    <t>C9 Density (kg/Sm3)</t>
  </si>
  <si>
    <t>C10+ Density (kg/Sm3)</t>
  </si>
  <si>
    <t>REGISTRO DE ÁALCULO PVT PARA CALIBRAÇÃO DE MPFM SUBSEA</t>
  </si>
  <si>
    <t>Valores calculados a partir da simulação</t>
  </si>
  <si>
    <t>Input do cálculo</t>
  </si>
  <si>
    <t>Fluido do poço</t>
  </si>
  <si>
    <t>Simulado PVTSim</t>
  </si>
  <si>
    <t>Medido</t>
  </si>
  <si>
    <t>Massa total de HC (kg/h)</t>
  </si>
  <si>
    <t>Fluidos utilizados na simulação</t>
  </si>
  <si>
    <t>Nessa simulação foram utilizados os dois fluidos coletados no separador de teste, óleo e gás, coletados no dia 18-Out-2025 (# 1 e # 2), analisado no laboratório SLB Macaé, do poço PE-4. Os fluidos acima foram recombinados na razão de massas medidas no separador no dia da calibração (fluido # 13). O fluido recombinado foi utilizado para obter os valores de densidade de óleo do separador de teste, razão de solubilidade e fator de encolhimento do óleo.</t>
  </si>
  <si>
    <t>Ajuste do RGO_massa no separador de teste</t>
  </si>
  <si>
    <t>Separador de Teste</t>
  </si>
  <si>
    <t>Desvio</t>
  </si>
  <si>
    <t>Densidade de Óleo (kg/m3)</t>
  </si>
  <si>
    <t>Massa total de HC (t)</t>
  </si>
  <si>
    <t>Massa de Óleo (t)</t>
  </si>
  <si>
    <t>Massa de Gás (t)</t>
  </si>
  <si>
    <t>Após recombinação dos fluidos, a massa calculada de óleo e de gás no separador de teste está de acordo com as massas de gás e óleo medidas no separador no dia do teste 26-Out-2025. Portanto, a recombinação é considerada válida e foi utilizada para estimar o fator de encolhimento e razão de solubilidade a seguir.</t>
  </si>
  <si>
    <t>Cálculo do fator de encolhimento e da razão de solubilidade</t>
  </si>
  <si>
    <t>Volume de óleo (m3/h)</t>
  </si>
  <si>
    <t>Condições padrão</t>
  </si>
  <si>
    <t>Densidade gas std​ = volume do gas @std / massa do gas @std​</t>
  </si>
  <si>
    <t>Volume de gás (m3/h)</t>
  </si>
  <si>
    <t>Densidade gas std</t>
  </si>
  <si>
    <t>Massa de Óleo (kg/h)</t>
  </si>
  <si>
    <t>Massa de Gás (kg/h)</t>
  </si>
  <si>
    <t>Massa de gás liberada após test sep (kg/h)</t>
  </si>
  <si>
    <t>Volume de gás liberado após test sep (m3/h)</t>
  </si>
  <si>
    <t>Fator de encolhimento (m3 STD / m3)</t>
  </si>
  <si>
    <t>Razão de solubilidade (m3 STD / m3)</t>
  </si>
  <si>
    <t>Os valores obtidos de fator de encolhimento e razão de solubilidade foram utilizados no cálculo de volumes em condições padrão medidos durante o teste, para levar volumes medidos no separador de teste para condições padrão seguindo um caminho termodinâmico equivalente ao configurado no sistema FCS320.</t>
  </si>
  <si>
    <t>REGISTRO DE CALCULO PVT PARA CALIBRAÇÃO DE MPFM SUBSEA</t>
  </si>
  <si>
    <t>Resultados da simulação</t>
  </si>
  <si>
    <t xml:space="preserve">                   gas017 + oil015</t>
  </si>
  <si>
    <t>Models</t>
  </si>
  <si>
    <t>SRK Peneloux</t>
  </si>
  <si>
    <t>LBC Visc/Thermal Cond</t>
  </si>
  <si>
    <t>Black Oil Properties</t>
  </si>
  <si>
    <t>GOR</t>
  </si>
  <si>
    <t>Bo (for oils)</t>
  </si>
  <si>
    <t>m³/Sm³</t>
  </si>
  <si>
    <t>Bg (for gases)</t>
  </si>
  <si>
    <t>Rv (for gases)</t>
  </si>
  <si>
    <t>API</t>
  </si>
  <si>
    <t>°API</t>
  </si>
  <si>
    <t>Separation</t>
  </si>
  <si>
    <t>Name</t>
  </si>
  <si>
    <t>Type</t>
  </si>
  <si>
    <t>Feed(s)</t>
  </si>
  <si>
    <t>P</t>
  </si>
  <si>
    <t>T</t>
  </si>
  <si>
    <t>Split Div</t>
  </si>
  <si>
    <t>Product(s)</t>
  </si>
  <si>
    <t>bara</t>
  </si>
  <si>
    <t>°C</t>
  </si>
  <si>
    <t>Oct25-SepTest</t>
  </si>
  <si>
    <t>Feed</t>
  </si>
  <si>
    <t>Feed 1</t>
  </si>
  <si>
    <t>Separator 1</t>
  </si>
  <si>
    <t>Separator</t>
  </si>
  <si>
    <t>Gas 2, Liq 2</t>
  </si>
  <si>
    <t>Separator 2</t>
  </si>
  <si>
    <t>Liq 2</t>
  </si>
  <si>
    <t>Gas 8, Liq 3</t>
  </si>
  <si>
    <t>Separator 3</t>
  </si>
  <si>
    <t>Liq 3</t>
  </si>
  <si>
    <t>Gas 7, Liq 4</t>
  </si>
  <si>
    <t>Mix 3</t>
  </si>
  <si>
    <t>Mix</t>
  </si>
  <si>
    <t>Gas 8, Gas 7</t>
  </si>
  <si>
    <t>Mixt 4</t>
  </si>
  <si>
    <t>Separator 4</t>
  </si>
  <si>
    <t>Gas 1, Liq 7</t>
  </si>
  <si>
    <t>Mix 2</t>
  </si>
  <si>
    <t>Gas 2, Gas 1</t>
  </si>
  <si>
    <t>Mixt 2</t>
  </si>
  <si>
    <t>Separator 5</t>
  </si>
  <si>
    <t>Gas 3, Liq 5</t>
  </si>
  <si>
    <t>Mix 4</t>
  </si>
  <si>
    <t>Liq 5, Liq 7</t>
  </si>
  <si>
    <t>Mixt 5</t>
  </si>
  <si>
    <t>Separator 6</t>
  </si>
  <si>
    <t>Gas 4, Liq 6</t>
  </si>
  <si>
    <t>Mix 1</t>
  </si>
  <si>
    <t>Liq 4, Liq 6</t>
  </si>
  <si>
    <t>Mixt 1</t>
  </si>
  <si>
    <t>Separator 8</t>
  </si>
  <si>
    <t>Gas 5, OIL</t>
  </si>
  <si>
    <t>Mix 5</t>
  </si>
  <si>
    <t>Gas 3, Gas 4, Gas 5</t>
  </si>
  <si>
    <t>Mixt 3</t>
  </si>
  <si>
    <t>Separator 7</t>
  </si>
  <si>
    <t>Gas 6, Liq 8</t>
  </si>
  <si>
    <t>Mix 6</t>
  </si>
  <si>
    <t>GAS</t>
  </si>
  <si>
    <t>Stock Gas</t>
  </si>
  <si>
    <t>Stock Oil</t>
  </si>
  <si>
    <t>OIL</t>
  </si>
  <si>
    <t>Stream Compositions (mol%)</t>
  </si>
  <si>
    <t>Component</t>
  </si>
  <si>
    <t>Gas 2</t>
  </si>
  <si>
    <t>Gas 8</t>
  </si>
  <si>
    <t>Gas 7</t>
  </si>
  <si>
    <t>Liq 4</t>
  </si>
  <si>
    <t>Gas 1</t>
  </si>
  <si>
    <t>Liq 7</t>
  </si>
  <si>
    <t>Gas 3</t>
  </si>
  <si>
    <t>Liq 5</t>
  </si>
  <si>
    <t>Gas 4</t>
  </si>
  <si>
    <t>Liq 6</t>
  </si>
  <si>
    <t>Gas 5</t>
  </si>
  <si>
    <t>Gas 6</t>
  </si>
  <si>
    <t>Liq 8</t>
  </si>
  <si>
    <t>C10</t>
  </si>
  <si>
    <t>C10-C80</t>
  </si>
  <si>
    <t>Stream Rates</t>
  </si>
  <si>
    <t>Flow Rate (kg/hr)</t>
  </si>
  <si>
    <t>Gas Flow Rate (m³/hr)</t>
  </si>
  <si>
    <t>Liquid Flow Rate (m³/hr)</t>
  </si>
  <si>
    <t>Stream Properties</t>
  </si>
  <si>
    <t>Molar Volume</t>
  </si>
  <si>
    <t>cm³/mol</t>
  </si>
  <si>
    <t>Density</t>
  </si>
  <si>
    <t>g/cm³</t>
  </si>
  <si>
    <t>Z-Factor</t>
  </si>
  <si>
    <t>Molecular Weight</t>
  </si>
  <si>
    <t>Enthalpy</t>
  </si>
  <si>
    <t>J/kg</t>
  </si>
  <si>
    <t>Internal Energy</t>
  </si>
  <si>
    <t>J/mol</t>
  </si>
  <si>
    <t>Internal Energy (mass)</t>
  </si>
  <si>
    <t>Entropy</t>
  </si>
  <si>
    <t>J/kg °C</t>
  </si>
  <si>
    <t>Heat Capacity (Cp)</t>
  </si>
  <si>
    <t>Heat Capacity (Cv)</t>
  </si>
  <si>
    <t>Kappa (Cp/Cv)</t>
  </si>
  <si>
    <t>JT Coefficient</t>
  </si>
  <si>
    <t>°C/bar</t>
  </si>
  <si>
    <t>Velocity of Sound</t>
  </si>
  <si>
    <t>m/s</t>
  </si>
  <si>
    <t>Viscosity</t>
  </si>
  <si>
    <t>cP</t>
  </si>
  <si>
    <t>Thermal Conductivity</t>
  </si>
  <si>
    <t>mW/(m ºC)</t>
  </si>
  <si>
    <t>Interfacial Tension</t>
  </si>
  <si>
    <t>mN/m</t>
  </si>
  <si>
    <t>03 – Totalizadores / Horário (mínimo 24h) – cálculo automático de massas por período</t>
  </si>
  <si>
    <t>Condições Específicas de Operação</t>
  </si>
  <si>
    <t xml:space="preserve">Configuração de GOR: Confirmar na interface (GUI) do medidor se ele deve operar com RGO (GOR) fixo em zero (caso o fluido esteja acima do ponto de bolha) ou em modo trifásico padrão, conforme a última simulação EoS </t>
  </si>
  <si>
    <t>Ao analisar previamente a variável pressão, fica constatado que para esta calibração, o medidor deverá operar com GOR fixo.</t>
  </si>
  <si>
    <t>Pressão antes do inicio da calibração (barg):</t>
  </si>
  <si>
    <t>acima de 590 barg</t>
  </si>
  <si>
    <t>Acima do ponto de bolha</t>
  </si>
  <si>
    <t>\\AFBRA\BRA\Performance Monitoring\ProdWells\PW_104DA|InletDiffPressUsed</t>
  </si>
  <si>
    <t>2601.18FT1106.Bank15.Stream02.MeterA.MPM.WaterVolumeFraction</t>
  </si>
  <si>
    <t>2601.18FT1106.Bank15.Stream02.MeterA.WaterLiquidRatio</t>
  </si>
  <si>
    <t>2601.18FT1106.Bank15.Stream02.MeterA.LiquidVel</t>
  </si>
  <si>
    <t>Report PDF</t>
  </si>
  <si>
    <t>2601.18FT0506.Bank10.Water.Stream01.MeterA.Ph1.UncorrMass</t>
  </si>
  <si>
    <t>Calculated</t>
  </si>
  <si>
    <t>Condição de Linha</t>
  </si>
  <si>
    <t>Fator de Reconciliação</t>
  </si>
  <si>
    <t>Valor Corrigido</t>
  </si>
  <si>
    <t>Condições de Referência @20°C 1 atm</t>
  </si>
  <si>
    <t>Condição de Superficie</t>
  </si>
  <si>
    <t>Dados Analíticos</t>
  </si>
  <si>
    <t>Desvios - Monitoramento</t>
  </si>
  <si>
    <t>DESVIO NA MASSA  (%)</t>
  </si>
  <si>
    <t>BALANÇO MASSA</t>
  </si>
  <si>
    <t>Data/Hora Início</t>
  </si>
  <si>
    <t>Data/Hora Fim</t>
  </si>
  <si>
    <t>Δt (h)</t>
  </si>
  <si>
    <t>dP - Inlet
(mbar)</t>
  </si>
  <si>
    <r>
      <t xml:space="preserve">WVF (%)
</t>
    </r>
    <r>
      <rPr>
        <b/>
        <sz val="10"/>
        <rFont val="Calibri"/>
        <family val="2"/>
      </rPr>
      <t>Fração Volumétrica de Água</t>
    </r>
  </si>
  <si>
    <t>WLR (%)
Razão Água Líquido</t>
  </si>
  <si>
    <t>Velocity 
(m/s)</t>
  </si>
  <si>
    <t>MPFM Subsea 
Óleo (t)
UNCORRECTED</t>
  </si>
  <si>
    <t>MPFM Subsea
 Gás (t)
UNCORRECTED</t>
  </si>
  <si>
    <t>MPFM Subsea
Água  (t)
UNCORRECTED</t>
  </si>
  <si>
    <t>MPFM Subsea 
Água  (t)
UNCORRECTED</t>
  </si>
  <si>
    <t>MPFM
Hidrocarboneto HC (t)
UNCORRECTED</t>
  </si>
  <si>
    <t>MPFM
Total (t)
UNCORRECTED</t>
  </si>
  <si>
    <t>MPFM
KÓleo</t>
  </si>
  <si>
    <t>MPFM
KGás</t>
  </si>
  <si>
    <t>MPFM
Kágua</t>
  </si>
  <si>
    <t>MPFM
KHC</t>
  </si>
  <si>
    <t>MPFM Subsea 
Óleo (t)
CORRECTED</t>
  </si>
  <si>
    <t>MPFM Subsea 
 Gás (t)
CORRECTED</t>
  </si>
  <si>
    <t>MPFM Subsea 
Água  (t)
CORRECTED</t>
  </si>
  <si>
    <t>MPFM
Hidrocarboneto  
HC (t)
CORRECTED</t>
  </si>
  <si>
    <t>MPFM
Total (t)
CORRECTED</t>
  </si>
  <si>
    <t>MPFM
Pressão 
(barg)</t>
  </si>
  <si>
    <t>MPFM
Temperatura (°C)</t>
  </si>
  <si>
    <t>MPFM
Densidade óleo (kg/m³)</t>
  </si>
  <si>
    <t>MPFM
Densidade gás (kg/m³)</t>
  </si>
  <si>
    <t>MPFM
Densidade água (kg/m³)</t>
  </si>
  <si>
    <t xml:space="preserve">MPFM Subsea
Óleo (t)
ST @20C </t>
  </si>
  <si>
    <t xml:space="preserve">MPFM Subsea
Gás (t)
ST @20C </t>
  </si>
  <si>
    <t xml:space="preserve">MPFM Subsea
Água  (t)
ST @20C </t>
  </si>
  <si>
    <t>MPFM Corr. HC (t)</t>
  </si>
  <si>
    <t>MPFM Corr.Total (t)</t>
  </si>
  <si>
    <t xml:space="preserve">MPFM Subsea
Óleo (m³)
ST @20C </t>
  </si>
  <si>
    <t xml:space="preserve">MPFM Subsea
 Gás (Mil m³)
ST @20C </t>
  </si>
  <si>
    <t xml:space="preserve">MPFM Subsea
Água  (m³)
ST @20C </t>
  </si>
  <si>
    <t>REFERÊNCIA Separador de Teste
Temperatura Méd. (°C)</t>
  </si>
  <si>
    <t>REFERÊNCIA Separador de Teste
Pressão Méd. (barg)</t>
  </si>
  <si>
    <t>REFERÊNCIA Separador de Teste
Óleo (m³)
Fonte: CV</t>
  </si>
  <si>
    <t>Density 
(kg/m3)
Fonte: coriolis</t>
  </si>
  <si>
    <t>REFERÊNCIA Separador de Teste
Óleo (t)
CALCULADO</t>
  </si>
  <si>
    <t>REFERÊNCIA 
Separador de Teste
Óleo (t)
Fonte: CV</t>
  </si>
  <si>
    <t>REFERÊNCIA 
Separador de Teste
 Gás (t)
Fonte: CV</t>
  </si>
  <si>
    <t>REFERÊNCIA 
Separador de Teste
Água (t)
Fonte: CV</t>
  </si>
  <si>
    <t>REFERÊNCIA
Separador de Teste
Hidrocarboneto  
HC (t)</t>
  </si>
  <si>
    <t>REFERÊNCIA
Separador de Teste
Total (t)</t>
  </si>
  <si>
    <t>Desvio HC (%)</t>
  </si>
  <si>
    <t>Desvio Total (%)</t>
  </si>
  <si>
    <t>Razão de Solubilidade
(m³/m³)</t>
  </si>
  <si>
    <t>Fator encolhimento</t>
  </si>
  <si>
    <t>BSW (%)</t>
  </si>
  <si>
    <t>Volume Líquido (NSV) = GSV x (1- BSW/100)
(m³)</t>
  </si>
  <si>
    <t xml:space="preserve">Volume Óleo Estabilizado = Volume Líquido  (NSV) x FE
(Sm³)
STD @20C </t>
  </si>
  <si>
    <t>Densidade Óleo  std (kg/m³)
 (Laboratório)</t>
  </si>
  <si>
    <t>Massa Óleo (estabilizado)
STD @20 (t)</t>
  </si>
  <si>
    <t>Volume Gás Dissolvido = Volume Padrão Óleo x RS
(Sm³)</t>
  </si>
  <si>
    <t xml:space="preserve"> Gás Total (Mil m³) 
STD @20C 
sT Vol Gás + Volume Gas Dissolvido</t>
  </si>
  <si>
    <t xml:space="preserve">Massa de
 Gás (t)
 ST @20C </t>
  </si>
  <si>
    <t>Volume de Água no Óleo = GSV Óleo x (BSW/100)
(Sm³)</t>
  </si>
  <si>
    <t xml:space="preserve">Total de Água do Poço
(Sm³)
STD @20C </t>
  </si>
  <si>
    <t xml:space="preserve">
Separador de Teste
Massa de Água (t)
ST @20C  </t>
  </si>
  <si>
    <t>HC REFERÊNCIA (t)</t>
  </si>
  <si>
    <t>Total REFERÊNCIA (t)</t>
  </si>
  <si>
    <t>Desvio Massa Óleo (%)</t>
  </si>
  <si>
    <t>Desvio Massa Gás (%)</t>
  </si>
  <si>
    <t>Desvio Massa Água (%)</t>
  </si>
  <si>
    <t>Desvio Volume Óleo (%)</t>
  </si>
  <si>
    <t>Desvio Volume Gás (%)</t>
  </si>
  <si>
    <t>Desvio Volume Água (%)</t>
  </si>
  <si>
    <t>Desvio Óleo (%)</t>
  </si>
  <si>
    <t>Diferença Óleo</t>
  </si>
  <si>
    <t>Desvio Gas (%)</t>
  </si>
  <si>
    <t>Diferença Gás</t>
  </si>
  <si>
    <t>Desvio Água (%)</t>
  </si>
  <si>
    <t>Diferença Água</t>
  </si>
  <si>
    <t>Diferença HC</t>
  </si>
  <si>
    <t>Desvio Tot (%)</t>
  </si>
  <si>
    <t>Diferença Total</t>
  </si>
  <si>
    <t>Status HC</t>
  </si>
  <si>
    <t>Status Total</t>
  </si>
  <si>
    <t>MPFM Δ Óleo (t)</t>
  </si>
  <si>
    <t>MPFM Δ Gás (t)</t>
  </si>
  <si>
    <t>MPFM Δ Água (t)</t>
  </si>
  <si>
    <t>MPFM Δ HC (t)</t>
  </si>
  <si>
    <t>MPFM Δ Total (t)</t>
  </si>
  <si>
    <t>REF Δ Óleo (t)</t>
  </si>
  <si>
    <t>REF Δ Gás (t)</t>
  </si>
  <si>
    <t>REF Δ Água (t)</t>
  </si>
  <si>
    <t>REF Δ HC (t)</t>
  </si>
  <si>
    <t>REF Δ Total (t)</t>
  </si>
  <si>
    <t>Observações</t>
  </si>
  <si>
    <t>MÉDIA ou SOMA</t>
  </si>
  <si>
    <t>VALOR MÍNIMO</t>
  </si>
  <si>
    <t>VALOR MÁXIMO</t>
  </si>
  <si>
    <t xml:space="preserve">GSV (Gross Standard Volume) = Volume corrigido para condições padrão (20 °C, 1 atm) API MPMS Ch.11.1 e 11.2.
GSV = GV × CTL × CPL </t>
  </si>
  <si>
    <t>NSV (Net Standard Volume) = NSV = GSV × (1 – BSW)</t>
  </si>
  <si>
    <t>Totais (24h) – somatório dos valores horários</t>
  </si>
  <si>
    <t>Voleo,std=Vliq,std×FEV_{oleo,std} = V_{liq,std} \times FEVoleo,std​=Vliq,std​×FE</t>
  </si>
  <si>
    <t>DESVIO NO VOLUME  (%)</t>
  </si>
  <si>
    <t>Duração total (h)</t>
  </si>
  <si>
    <t>Vgas,diss,std=Voleo,std×RSV_{gas,diss,std} = V_{oleo,std} \times RSVgas,diss,std​=Voleo,std​×RS</t>
  </si>
  <si>
    <t>Desvio Vol Óleo (%)</t>
  </si>
  <si>
    <t>Desvio Vol Gas (%)</t>
  </si>
  <si>
    <t>Desvio Vol Água  (%)</t>
  </si>
  <si>
    <t>MPFM Massa Óleo (t)</t>
  </si>
  <si>
    <t>Vgas,total,std=Vgas,livre,std+Vgas,diss,stdV_{gas,total,std} = V_{gas,livre,std} + V_{gas,diss,std}Vgas,total,std​=Vgas,livre,std​+Vgas,diss,std​</t>
  </si>
  <si>
    <t>MPFM Massa Gás (t)</t>
  </si>
  <si>
    <t>moil=Voleo,std×ρoil,@stdm_{oil} = V_{oleo,std} \times ρ_{oil,@std}moil​=Voleo,std​×ρoil,@std​</t>
  </si>
  <si>
    <t>MPFM Massa Água (t)</t>
  </si>
  <si>
    <t>mgas=Vgas,total,std×ρgas,@stdm_{gas} = V_{gas,total,std} \times ρ_{gas,@std}mgas​=Vgas,total,std​×ρgas,@std​</t>
  </si>
  <si>
    <t>MPFM Massa HC (t)</t>
  </si>
  <si>
    <t>magua=Vagua,std×ρagua,@stdm_{agua} = V_{agua,std} \times ρ_{agua,@std}magua​=Vagua,std​×ρagua,@std​</t>
  </si>
  <si>
    <t>MPFM Massa Total (t)</t>
  </si>
  <si>
    <t>REF Massa Óleo (t)</t>
  </si>
  <si>
    <t>REF Massa Gás (t)</t>
  </si>
  <si>
    <t>REF Massa Água (t)</t>
  </si>
  <si>
    <t>REF Massa HC (t)</t>
  </si>
  <si>
    <t>REF Massa Total (t)</t>
  </si>
  <si>
    <t>Limites do MPFM - por Fase</t>
  </si>
  <si>
    <t>Resultados Analíticos - Dados Coletados Durante Calibração</t>
  </si>
  <si>
    <t>Dados Analíticos - Correções e Ajustes no Processo</t>
  </si>
  <si>
    <t>Conservação das Massas - MPFM</t>
  </si>
  <si>
    <t>Não aplicáveis ao momento de produção do PW-104DA uma vez que o campo de Bacalhau se encontra em sua fase inicial de produção e o poço opera em Fase Contínua de Óleo, onde o erro de salinidade não afeta a medição do óleo e a quantidade de água é insignificante para o balanço fiscal e de apropriação.</t>
  </si>
  <si>
    <t>Fase</t>
  </si>
  <si>
    <t>Limite Máx Cond STD</t>
  </si>
  <si>
    <t>Data/hora</t>
  </si>
  <si>
    <t>Valor BSW Lab</t>
  </si>
  <si>
    <t>Densidade Coriolis</t>
  </si>
  <si>
    <t>Densidade LAB</t>
  </si>
  <si>
    <t>Densidade MPFM Oil</t>
  </si>
  <si>
    <t>Fator de Encolhimento</t>
  </si>
  <si>
    <t>Razão Solubilidade</t>
  </si>
  <si>
    <t>Evidência</t>
  </si>
  <si>
    <t>Situação</t>
  </si>
  <si>
    <t>HC</t>
  </si>
  <si>
    <t>Total</t>
  </si>
  <si>
    <r>
      <t xml:space="preserve">GVF%
</t>
    </r>
    <r>
      <rPr>
        <b/>
        <sz val="10"/>
        <rFont val="Calibri"/>
        <family val="2"/>
      </rPr>
      <t>Fração Volumétrica de Gás</t>
    </r>
  </si>
  <si>
    <t>Óleo 
(Sm³/d)</t>
  </si>
  <si>
    <t>Até 6.500</t>
  </si>
  <si>
    <t>Uncorrect</t>
  </si>
  <si>
    <t>Massas foram  Conservadas</t>
  </si>
  <si>
    <r>
      <t xml:space="preserve">WLR%
</t>
    </r>
    <r>
      <rPr>
        <b/>
        <sz val="10"/>
        <rFont val="Calibri"/>
        <family val="2"/>
      </rPr>
      <t>Razão Água Líquido</t>
    </r>
  </si>
  <si>
    <t>Gás
(Sm³/d)</t>
  </si>
  <si>
    <t>Até 2.500.000</t>
  </si>
  <si>
    <t>Correct</t>
  </si>
  <si>
    <r>
      <t xml:space="preserve">WVF%
</t>
    </r>
    <r>
      <rPr>
        <b/>
        <sz val="10"/>
        <rFont val="Calibri"/>
        <family val="2"/>
      </rPr>
      <t>Fração Volumétrica de Água</t>
    </r>
  </si>
  <si>
    <t>Água
(Sm³/d)</t>
  </si>
  <si>
    <t xml:space="preserve">Até 1.000 </t>
  </si>
  <si>
    <t xml:space="preserve">ST @20C </t>
  </si>
  <si>
    <t>Salinidade mg/L</t>
  </si>
  <si>
    <t>Vazões mássicas por fase - Óleo</t>
  </si>
  <si>
    <t>Vazões mássicas por fase - Gás</t>
  </si>
  <si>
    <t>DENSIDADE SEPARADOR DE TESTE - TESTE DE POÇO</t>
  </si>
  <si>
    <t>Vazões mássicas por fase - Água</t>
  </si>
  <si>
    <t>Data</t>
  </si>
  <si>
    <t>Hora</t>
  </si>
  <si>
    <t>Density [kg/m3]</t>
  </si>
  <si>
    <t>POÇO</t>
  </si>
  <si>
    <t>Vazões volumétricas por fase - Óleo</t>
  </si>
  <si>
    <t>PW_104DA</t>
  </si>
  <si>
    <t>Vazões volumétricas por fase - Gás</t>
  </si>
  <si>
    <t>Vazões volumétricas por fase - Água</t>
  </si>
  <si>
    <t>Pressão (MPFM) kPa</t>
  </si>
  <si>
    <t>convertido de barg para kPa</t>
  </si>
  <si>
    <t>ATENTAR PARA CONVERSÕES</t>
  </si>
  <si>
    <t>Temperatura (MPFM) °C</t>
  </si>
  <si>
    <t>convertido de mbar para kPa</t>
  </si>
  <si>
    <t>04 – Cálculo de K-Factors, massas corrigidas e validações</t>
  </si>
  <si>
    <t>Parâmetros de aceitação (ajustáveis)</t>
  </si>
  <si>
    <t>K mínimo</t>
  </si>
  <si>
    <t>K máximo</t>
  </si>
  <si>
    <t>Limite desvio Massa HC (±)</t>
  </si>
  <si>
    <t>Limite desvio Massa Total (±)</t>
  </si>
  <si>
    <t>Massas totalizadas (24h) – Separador de Teste (Referência) vs MPFM Subsea</t>
  </si>
  <si>
    <t>MPFM (t)</t>
  </si>
  <si>
    <t>Referência (t)</t>
  </si>
  <si>
    <t>Diferença (t)</t>
  </si>
  <si>
    <t>Desvio (%)</t>
  </si>
  <si>
    <t>Óleo</t>
  </si>
  <si>
    <t>Gás</t>
  </si>
  <si>
    <t>Água</t>
  </si>
  <si>
    <t>HC (Óleo+Gás)</t>
  </si>
  <si>
    <t>Total (HC+Água)</t>
  </si>
  <si>
    <t>Medidor calibrado operou acima da pressão do ponto de bolha?</t>
  </si>
  <si>
    <t>Conclusão</t>
  </si>
  <si>
    <t>Sim, nesse caso apenas o K_oleo será calculado com base na conservação de massa de hidrocarboneto. K_oleo = K_hc. 
O fator K_gas, permanece inalterado em 1, pelo fato do medidor não medir fase gás nas condições operacionais dessa verificação.</t>
  </si>
  <si>
    <t>Razão Massa Óleo / massa de água &gt;= 25</t>
  </si>
  <si>
    <t>Não calcular novo fator K para a fase água.</t>
  </si>
  <si>
    <t>Cálculo dos K-Factors (razão Referência / MPFM)</t>
  </si>
  <si>
    <t>AS FOUND</t>
  </si>
  <si>
    <t>AS LEFT</t>
  </si>
  <si>
    <t>Fatores K Iniciais</t>
  </si>
  <si>
    <t>Fatores K Calculados (ref/MPFM)</t>
  </si>
  <si>
    <t>Status (range)</t>
  </si>
  <si>
    <t>K_oleo</t>
  </si>
  <si>
    <t>K_gas</t>
  </si>
  <si>
    <t>K_agua</t>
  </si>
  <si>
    <t xml:space="preserve">K_hc </t>
  </si>
  <si>
    <t>Massas corrigidas (aplicação de K) e desvios pós-correção</t>
  </si>
  <si>
    <t>MPFM bruto (t)</t>
  </si>
  <si>
    <t>K aplicado</t>
  </si>
  <si>
    <t>MPFM corrigido (t)</t>
  </si>
  <si>
    <t>Desvio pós (%)</t>
  </si>
  <si>
    <t xml:space="preserve"> Critério Desvio</t>
  </si>
  <si>
    <t>Critério K-factor</t>
  </si>
  <si>
    <t>0,80 - 1,20</t>
  </si>
  <si>
    <t>OK K-Factor</t>
  </si>
  <si>
    <t>OK Desvio</t>
  </si>
  <si>
    <t>Valor Fator</t>
  </si>
  <si>
    <t>06 – Monitoramento pós-aplicação de novos fatores (tendência, alarmes e evidências)</t>
  </si>
  <si>
    <t>Registre por período (ex.: diário) as massas totalizadas e o efeito dos novos K-factors. Útil para evidência pós-calibração.</t>
  </si>
  <si>
    <t>Início (dt)</t>
  </si>
  <si>
    <t>Fim (dt)</t>
  </si>
  <si>
    <t>Duração (h)</t>
  </si>
  <si>
    <t>MPFM Óleo (t)</t>
  </si>
  <si>
    <t>MPFM Gás (t)</t>
  </si>
  <si>
    <t>MPFM Água (t)</t>
  </si>
  <si>
    <t>MPFM HC (t)</t>
  </si>
  <si>
    <t>Total (t)</t>
  </si>
  <si>
    <t>MPFM Óleo (sm³)</t>
  </si>
  <si>
    <t>MPFM Gás (mil sm³)</t>
  </si>
  <si>
    <t>MPFM Água (sm³)</t>
  </si>
  <si>
    <t>MPFM Corr. Óleo (t)</t>
  </si>
  <si>
    <t>MPFM Corr. Água (t)</t>
  </si>
  <si>
    <t>MPFM Óleo Corrigido (sm³)</t>
  </si>
  <si>
    <t>MPFM Gás Corrigido
(mil sm³)</t>
  </si>
  <si>
    <t>MPFM Água Corrigido (sm³)</t>
  </si>
  <si>
    <t>REF
Óleo (m³)</t>
  </si>
  <si>
    <t>Temperatura Méd. (°C)</t>
  </si>
  <si>
    <t>Pressão Méd. (barg)</t>
  </si>
  <si>
    <t>Density (kg/m³)</t>
  </si>
  <si>
    <t>REF Óleo (t)</t>
  </si>
  <si>
    <t>REF Gás (t)</t>
  </si>
  <si>
    <t>REF Água (t)</t>
  </si>
  <si>
    <t>REF HC (t)</t>
  </si>
  <si>
    <t>REF Total (t)</t>
  </si>
  <si>
    <t>Razão de Solubilidade</t>
  </si>
  <si>
    <t>Volume Líquido Oleo (Sm³)</t>
  </si>
  <si>
    <t>Volume Gás Std 
(mil Sm³)</t>
  </si>
  <si>
    <t>Volume Água (Sm³)</t>
  </si>
  <si>
    <t>04 – Totalizadores / Horário (mínimo 24h) – cálculo automático de massas por período</t>
  </si>
  <si>
    <t>\\AFBRA\BRA\Performance Monitoring\ProdWells\PE_2|InletDiffPressUsed</t>
  </si>
  <si>
    <t>2601.18FT0506.Bank10.Stream01.MeterA.MPM.WaterVolumeFraction</t>
  </si>
  <si>
    <t>2601.18FT0506.Bank10.Stream01.MeterA.WaterLiquidRatio</t>
  </si>
  <si>
    <t>2601.18FT0506.Bank10.Stream01.MeterA.LiquidVel</t>
  </si>
  <si>
    <t>Valor Corrigido (fator K Aplicado)</t>
  </si>
  <si>
    <t xml:space="preserve">BALANÇO </t>
  </si>
  <si>
    <t>MPFM Subsea 
Óleo (t)
CORRECTED
CALCULADO</t>
  </si>
  <si>
    <t>MPFM Subsea 
 Gás (t)
CORRECTED
CALCULADO</t>
  </si>
  <si>
    <t>MPFM Subsea 
Água  (t)
CORRECTED
CALCULADO</t>
  </si>
  <si>
    <t>MPFM
Hidrocarboneto  
HC (t)
CORRECTED
CALCULADO</t>
  </si>
  <si>
    <t>MPFM 
Total  (t)
CORRECTED
CALCULADO</t>
  </si>
  <si>
    <t>Density 
(kg/m3)
Fonte: Coriolis</t>
  </si>
  <si>
    <t>REFERÊNCIA 
Separador de Teste
Óleo (t)
USANDO DENSIDADE SIMULADA 795,59kg/m³</t>
  </si>
  <si>
    <t xml:space="preserve">Separador de Teste
Água (t)
ST @20C  </t>
  </si>
  <si>
    <t>Desvio VOL Óleo (%)</t>
  </si>
  <si>
    <t>Conservação das Massas</t>
  </si>
  <si>
    <t>Não aplicáveis ao momento de produção do Pw-104 uma vez que o campo de Bacalhau se encontra em sua fase inicial de produção e o poço opera em Fase Contínua de Óleo, onde o erro de salinidade não afeta a medição do óleo e a quantidade de água é insignificante para o balanço fiscal e de apropriação.</t>
  </si>
  <si>
    <t>Fator de Encolhimento RELATORIO</t>
  </si>
  <si>
    <t>Razão Solubilidade RELATORIIO</t>
  </si>
  <si>
    <t>Fator de Encolhimento SIMULAÇÃO</t>
  </si>
  <si>
    <t>Razão Solubilidade SIMULAÇÃO</t>
  </si>
  <si>
    <t>017 - skid fiscal (manual)</t>
  </si>
  <si>
    <t>018 - sep teste (manual)</t>
  </si>
  <si>
    <t>102 - offloading (automático)</t>
  </si>
  <si>
    <t>Diferença VOL Óleo</t>
  </si>
  <si>
    <t>Desvio VOL Gas (%)</t>
  </si>
  <si>
    <t>Diferença VOL Gás</t>
  </si>
  <si>
    <t>Desvio VOL Água (%)</t>
  </si>
  <si>
    <t>Diferença VOL Água</t>
  </si>
  <si>
    <t>DAY</t>
  </si>
  <si>
    <t>Hour</t>
  </si>
  <si>
    <t>Pressure (kpa)</t>
  </si>
  <si>
    <t>Pressure (barg)</t>
  </si>
  <si>
    <t>Temperature (deg c)</t>
  </si>
  <si>
    <t>SD (kg/sm³)</t>
  </si>
  <si>
    <t>MD (kg/m³)</t>
  </si>
  <si>
    <t>IV (m³)</t>
  </si>
  <si>
    <t>GV (m³)</t>
  </si>
  <si>
    <t>GSV (sm³)</t>
  </si>
  <si>
    <t>Mass (t)</t>
  </si>
  <si>
    <t>NSV (sm³)</t>
  </si>
  <si>
    <t>CPL</t>
  </si>
  <si>
    <t>CTL</t>
  </si>
  <si>
    <t>Pressure (kpa_g)</t>
  </si>
  <si>
    <t>DT (kg/m³)</t>
  </si>
  <si>
    <t>Gr. vol. (m³)</t>
  </si>
  <si>
    <t>St. vol. (m³)</t>
  </si>
  <si>
    <t>Energy (gj)</t>
  </si>
  <si>
    <t>Diff. press. (kpa)</t>
  </si>
  <si>
    <t>Flowtime (min)</t>
  </si>
  <si>
    <t xml:space="preserve"> </t>
  </si>
  <si>
    <t>ProductionDate</t>
  </si>
  <si>
    <t>Granularity</t>
  </si>
  <si>
    <t>Origin</t>
  </si>
  <si>
    <t>SourceType</t>
  </si>
  <si>
    <t>Area</t>
  </si>
  <si>
    <t>System</t>
  </si>
  <si>
    <t>Bank</t>
  </si>
  <si>
    <t>Loop</t>
  </si>
  <si>
    <t>Tipo</t>
  </si>
  <si>
    <t>Entity</t>
  </si>
  <si>
    <t>Tag</t>
  </si>
  <si>
    <t>Instrumento</t>
  </si>
  <si>
    <t>MPFM uncorr Gás (t)</t>
  </si>
  <si>
    <t>MPFM uncorr Óleo (t)</t>
  </si>
  <si>
    <t>MPFM uncorr HC (t)</t>
  </si>
  <si>
    <t>MPFM uncorr Água (t)</t>
  </si>
  <si>
    <t>MPFM uncorr Total (t)</t>
  </si>
  <si>
    <t>MPFM corr Gás (t)</t>
  </si>
  <si>
    <t>MPFM corr Óleo (t)</t>
  </si>
  <si>
    <t>MPFM corr HC (t)</t>
  </si>
  <si>
    <t>MPFM corr Água (t)</t>
  </si>
  <si>
    <t>MPFM corr Total (t)</t>
  </si>
  <si>
    <t>PVT mass Gás (t)</t>
  </si>
  <si>
    <t>PVT mass Óleo (t)</t>
  </si>
  <si>
    <t>PVT mass HC (t)</t>
  </si>
  <si>
    <t>PVT mass Água (t)</t>
  </si>
  <si>
    <t>PVT mass Total (t)</t>
  </si>
  <si>
    <t>PVT vol Gás (Sm³)</t>
  </si>
  <si>
    <t>PVT vol Óleo (m³)</t>
  </si>
  <si>
    <t>PVT vol HC (m³)</t>
  </si>
  <si>
    <t>PVT vol Água (m³)</t>
  </si>
  <si>
    <t>PVT vol Total (m³)</t>
  </si>
  <si>
    <t>PVT @20 mass Gás (t)</t>
  </si>
  <si>
    <t>PVT @20 mass Óleo (t)</t>
  </si>
  <si>
    <t>PVT @20 mass HC (t)</t>
  </si>
  <si>
    <t>PVT @20 mass Água (t)</t>
  </si>
  <si>
    <t>PVT @20 mass Total (t)</t>
  </si>
  <si>
    <t>PVT @20 vol Gás (Sm³)</t>
  </si>
  <si>
    <t>PVT @20 vol Óleo (m³)</t>
  </si>
  <si>
    <t>PVT @20 vol HC (m³)</t>
  </si>
  <si>
    <t>PVT @20 vol Água (m³)</t>
  </si>
  <si>
    <t>PVT @20 vol Total (m³)</t>
  </si>
  <si>
    <t>Pressão (barg)</t>
  </si>
  <si>
    <t>Temperatura (°C)</t>
  </si>
  <si>
    <t>Dens. Gás (kg/m³)</t>
  </si>
  <si>
    <t>Dens. Óleo (kg/m³)</t>
  </si>
  <si>
    <t>Dens. Água (kg/m³)</t>
  </si>
  <si>
    <t>2026-03-28</t>
  </si>
  <si>
    <t>22:00</t>
  </si>
  <si>
    <t>Hourly</t>
  </si>
  <si>
    <t>MPFM</t>
  </si>
  <si>
    <t>PDF</t>
  </si>
  <si>
    <t>B15</t>
  </si>
  <si>
    <t>West</t>
  </si>
  <si>
    <t>Subsea</t>
  </si>
  <si>
    <t>18FT1106</t>
  </si>
  <si>
    <t>23:00</t>
  </si>
  <si>
    <t>2026-03-29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</si>
  <si>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</si>
  <si>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</si>
  <si>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</si>
  <si>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</si>
  <si>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</si>
  <si>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</si>
  <si>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</si>
  <si>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</si>
  <si>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</si>
  <si>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</si>
  <si>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</si>
  <si>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</si>
  <si>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</si>
  <si>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</si>
  <si>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</si>
  <si>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</si>
  <si>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</si>
  <si>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</si>
  <si>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</si>
  <si>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</si>
  <si>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</si>
  <si>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</si>
  <si>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Data: 2026-03-27  |  TAG: 20FT0247  |  Meter ID: 20FT0247</t>
  </si>
  <si>
    <t>Data: 2026-03-27 |  TAG: 20FT0244  |  Meter ID: 20FT0244</t>
  </si>
  <si>
    <t>Data: 2026-03-27  |  TAG: 20FT0251  |  Meter ID: 20FT0251</t>
  </si>
  <si>
    <t>TAG</t>
  </si>
  <si>
    <t>2026-03-27</t>
  </si>
  <si>
    <t>Data: 2026-04-18&amp;19  |  TAG: 20FT0251  |  Meter ID: 20FT0251</t>
  </si>
  <si>
    <t>Data: 2026-04-18&amp;19 |  TAG: 20FT0244  |  Meter ID: 20FT0244</t>
  </si>
  <si>
    <t>PI Tag</t>
  </si>
  <si>
    <t>2026-04-18</t>
  </si>
  <si>
    <t>2026-04-19</t>
  </si>
  <si>
    <t>14-100 270</t>
  </si>
  <si>
    <t>1mbar = 0,1 kpa</t>
  </si>
  <si>
    <t>MPFM Corr. Gás 
(t)</t>
  </si>
  <si>
    <t>18-19/04/2026</t>
  </si>
  <si>
    <t>Total de Água do Poço
(Sm³)</t>
  </si>
  <si>
    <t>ba</t>
  </si>
  <si>
    <t>bd</t>
  </si>
  <si>
    <t>bi</t>
  </si>
  <si>
    <t>az</t>
  </si>
  <si>
    <t>be</t>
  </si>
  <si>
    <t>bh</t>
  </si>
  <si>
    <t>bg</t>
  </si>
  <si>
    <t>Média/Soma 27
Calibração</t>
  </si>
  <si>
    <t>Média/Soma 18
Monitoramento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</si>
</sst>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"/>
    <numFmt numFmtId="165" formatCode="0.000"/>
    <numFmt numFmtId="166" formatCode="0.0000"/>
    <numFmt numFmtId="167" formatCode="0.0%"/>
    <numFmt numFmtId="168" formatCode="0.000000"/>
    <numFmt numFmtId="169" formatCode="#,##0.000"/>
    <numFmt numFmtId="170" formatCode="d/m/yy\ h:mm;@"/>
    <numFmt numFmtId="171" formatCode="0.00E-0"/>
    <numFmt numFmtId="172" formatCode="[$-F400]h:mm:ss\ AM/PM"/>
    <numFmt numFmtId="174" formatCode="#,##0.0000"/>
    <numFmt numFmtId="175" formatCode="h:mm;@"/>
    <numFmt numFmtId="182" formatCode="0.000%"/>
  </numFmts>
  <fonts count="73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000000"/>
      <name val="Calibri"/>
      <family val="2"/>
    </font>
    <font>
      <i/>
      <sz val="11"/>
      <color rgb="FF404040"/>
      <name val="Calibri"/>
      <family val="2"/>
    </font>
    <font>
      <sz val="11"/>
      <color rgb="FF008000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20"/>
      <color rgb="FFFF0000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b/>
      <sz val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2"/>
      <name val="Calibri"/>
      <family val="2"/>
      <scheme val="minor"/>
    </font>
    <font>
      <sz val="11"/>
      <color rgb="FFFF0000"/>
      <name val="Calibri"/>
      <family val="2"/>
    </font>
    <font>
      <b/>
      <sz val="11"/>
      <name val="Calibri"/>
      <family val="2"/>
      <scheme val="minor"/>
    </font>
    <font>
      <b/>
      <sz val="14"/>
      <name val="Calibri"/>
      <family val="2"/>
    </font>
    <font>
      <i/>
      <sz val="11"/>
      <name val="Calibri"/>
      <family val="2"/>
    </font>
    <font>
      <b/>
      <sz val="12"/>
      <name val="Calibri"/>
      <family val="2"/>
      <scheme val="minor"/>
    </font>
    <font>
      <b/>
      <sz val="12"/>
      <name val="Calibri"/>
      <family val="2"/>
    </font>
    <font>
      <sz val="11"/>
      <color theme="0" tint="-0.1499984740745262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</font>
    <font>
      <sz val="18"/>
      <name val="Calibri"/>
      <family val="2"/>
      <scheme val="minor"/>
    </font>
    <font>
      <sz val="12"/>
      <name val="Calibri"/>
      <family val="2"/>
    </font>
    <font>
      <b/>
      <sz val="11"/>
      <color theme="1"/>
      <name val="Segoe UI"/>
      <family val="2"/>
    </font>
    <font>
      <b/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1"/>
      <color theme="1"/>
      <name val="Tahoma"/>
      <family val="2"/>
    </font>
    <font>
      <sz val="10"/>
      <color rgb="FF00B050"/>
      <name val="Tahoma"/>
      <family val="2"/>
    </font>
    <font>
      <sz val="10"/>
      <name val="Calibri"/>
      <family val="2"/>
      <scheme val="minor"/>
    </font>
    <font>
      <b/>
      <sz val="10.5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4"/>
      <color theme="5"/>
      <name val="Calibri"/>
      <family val="2"/>
    </font>
    <font>
      <sz val="12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8"/>
      <color theme="5"/>
      <name val="Calibri"/>
      <family val="2"/>
      <scheme val="minor"/>
    </font>
    <font>
      <sz val="11"/>
      <color theme="5"/>
      <name val="Segoe UI"/>
      <family val="2"/>
    </font>
    <font>
      <b/>
      <sz val="10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1"/>
      <color theme="0"/>
      <name val="Segoe UI"/>
      <family val="2"/>
    </font>
    <font>
      <sz val="11"/>
      <color theme="1"/>
      <name val="Calibri"/>
      <family val="2"/>
    </font>
    <font>
      <b/>
      <sz val="12"/>
      <color rgb="FFFFFFFF"/>
      <name val="Calibri"/>
      <family val="2"/>
    </font>
    <font>
      <b/>
      <sz val="22"/>
      <color rgb="FFFF0000"/>
      <name val="Tahoma"/>
      <family val="2"/>
    </font>
    <font>
      <b/>
      <sz val="18"/>
      <name val="Calibri"/>
      <family val="2"/>
      <scheme val="minor"/>
    </font>
    <font>
      <sz val="11"/>
      <color theme="0"/>
      <name val="Segoe UI"/>
      <family val="2"/>
    </font>
    <font>
      <b/>
      <sz val="11"/>
      <color rgb="FF333333"/>
      <name val="Calibri"/>
      <family val="2"/>
    </font>
    <font>
      <sz val="11"/>
      <color rgb="FF333333"/>
      <name val="Calibri"/>
      <family val="2"/>
    </font>
    <font>
      <b/>
      <sz val="12"/>
      <color rgb="FFFFFFFF"/>
      <name val="Calibri"/>
      <family val="2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rgb="FF00808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3366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79"/>
        <bgColor indexed="64"/>
      </patternFill>
    </fill>
    <fill>
      <patternFill patternType="solid">
        <fgColor rgb="FFDDEBF7"/>
        <bgColor rgb="FFE6E6FA"/>
      </patternFill>
    </fill>
    <fill>
      <patternFill patternType="solid">
        <fgColor rgb="FFEAEAEA"/>
        <bgColor indexed="64"/>
      </patternFill>
    </fill>
    <fill>
      <patternFill patternType="solid">
        <fgColor rgb="FF5588AA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</fills>
  <borders count="134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 style="thin">
        <color rgb="FFA6A6A6"/>
      </right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rgb="FFA6A6A6"/>
      </right>
      <top style="medium">
        <color indexed="64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medium">
        <color indexed="64"/>
      </top>
      <bottom style="thin">
        <color rgb="FFA6A6A6"/>
      </bottom>
      <diagonal/>
    </border>
    <border>
      <left style="thin">
        <color rgb="FFA6A6A6"/>
      </left>
      <right style="medium">
        <color indexed="64"/>
      </right>
      <top style="medium">
        <color indexed="64"/>
      </top>
      <bottom style="thin">
        <color rgb="FFA6A6A6"/>
      </bottom>
      <diagonal/>
    </border>
    <border>
      <left style="medium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medium">
        <color indexed="64"/>
      </right>
      <top style="thin">
        <color rgb="FFA6A6A6"/>
      </top>
      <bottom style="thin">
        <color rgb="FFA6A6A6"/>
      </bottom>
      <diagonal/>
    </border>
    <border>
      <left style="medium">
        <color indexed="64"/>
      </left>
      <right style="thin">
        <color rgb="FFA6A6A6"/>
      </right>
      <top style="thin">
        <color rgb="FFA6A6A6"/>
      </top>
      <bottom style="medium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medium">
        <color indexed="64"/>
      </bottom>
      <diagonal/>
    </border>
    <border>
      <left style="thin">
        <color rgb="FFA6A6A6"/>
      </left>
      <right style="medium">
        <color indexed="64"/>
      </right>
      <top style="thin">
        <color rgb="FFA6A6A6"/>
      </top>
      <bottom style="medium">
        <color indexed="64"/>
      </bottom>
      <diagonal/>
    </border>
    <border>
      <left/>
      <right style="thin">
        <color rgb="FFA6A6A6"/>
      </right>
      <top style="medium">
        <color indexed="64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rgb="FFA6A6A6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A6A6A6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A6A6A6"/>
      </left>
      <right style="thin">
        <color rgb="FFA6A6A6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A6A6A6"/>
      </right>
      <top/>
      <bottom style="thin">
        <color rgb="FFA6A6A6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rgb="FFA6A6A6"/>
      </right>
      <top style="medium">
        <color indexed="64"/>
      </top>
      <bottom style="medium">
        <color indexed="64"/>
      </bottom>
      <diagonal/>
    </border>
    <border>
      <left style="thin">
        <color rgb="FFA6A6A6"/>
      </left>
      <right style="thin">
        <color rgb="FFA6A6A6"/>
      </right>
      <top style="medium">
        <color indexed="64"/>
      </top>
      <bottom style="medium">
        <color indexed="64"/>
      </bottom>
      <diagonal/>
    </border>
    <border>
      <left style="thin">
        <color rgb="FFA6A6A6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6A6A6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A6A6A6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rgb="FFA6A6A6"/>
      </right>
      <top style="medium">
        <color indexed="64"/>
      </top>
      <bottom/>
      <diagonal/>
    </border>
    <border>
      <left style="thin">
        <color rgb="FFA6A6A6"/>
      </left>
      <right style="thin">
        <color rgb="FFA6A6A6"/>
      </right>
      <top style="medium">
        <color indexed="64"/>
      </top>
      <bottom/>
      <diagonal/>
    </border>
    <border>
      <left style="thin">
        <color rgb="FFA6A6A6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A6A6A6"/>
      </left>
      <right style="medium">
        <color indexed="64"/>
      </right>
      <top style="thin">
        <color rgb="FFA6A6A6"/>
      </top>
      <bottom/>
      <diagonal/>
    </border>
    <border>
      <left style="medium">
        <color indexed="64"/>
      </left>
      <right style="thin">
        <color rgb="FFA6A6A6"/>
      </right>
      <top style="thin">
        <color rgb="FFA6A6A6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rgb="FFC5E1A5"/>
      </left>
      <right style="thin">
        <color rgb="FFC5E1A5"/>
      </right>
      <top/>
      <bottom style="thin">
        <color rgb="FFC5E1A5"/>
      </bottom>
      <diagonal/>
    </border>
    <border>
      <left style="thin">
        <color rgb="FFC5E1A5"/>
      </left>
      <right style="thin">
        <color rgb="FFC5E1A5"/>
      </right>
      <top style="thin">
        <color rgb="FFC5E1A5"/>
      </top>
      <bottom style="thin">
        <color rgb="FFC5E1A5"/>
      </bottom>
      <diagonal/>
    </border>
    <border>
      <left style="thin">
        <color rgb="FFC5E1A5"/>
      </left>
      <right style="thin">
        <color rgb="FFC5E1A5"/>
      </right>
      <top style="thin">
        <color rgb="FFC5E1A5"/>
      </top>
      <bottom/>
      <diagonal/>
    </border>
    <border>
      <left style="thin">
        <color rgb="FFC5E1A5"/>
      </left>
      <right style="thin">
        <color rgb="FFC5E1A5"/>
      </right>
      <top style="medium">
        <color rgb="FF2E7D32"/>
      </top>
      <bottom/>
      <diagonal/>
    </border>
    <border>
      <left style="thin">
        <color rgb="FFC5E1A5"/>
      </left>
      <right style="medium">
        <color rgb="FF2E7D32"/>
      </right>
      <top style="medium">
        <color rgb="FF2E7D32"/>
      </top>
      <bottom/>
      <diagonal/>
    </border>
    <border>
      <left/>
      <right style="thin">
        <color rgb="FFFFCC80"/>
      </right>
      <top style="medium">
        <color rgb="FFE65100"/>
      </top>
      <bottom/>
      <diagonal/>
    </border>
    <border>
      <left style="thin">
        <color rgb="FFFFCC80"/>
      </left>
      <right style="thin">
        <color rgb="FFFFCC80"/>
      </right>
      <top style="medium">
        <color rgb="FFE65100"/>
      </top>
      <bottom/>
      <diagonal/>
    </border>
    <border>
      <left style="thin">
        <color rgb="FFFFCC80"/>
      </left>
      <right/>
      <top style="medium">
        <color rgb="FFE65100"/>
      </top>
      <bottom/>
      <diagonal/>
    </border>
    <border>
      <left style="thin">
        <color rgb="FFFFCC80"/>
      </left>
      <right style="thin">
        <color rgb="FFFFCC80"/>
      </right>
      <top/>
      <bottom style="thin">
        <color rgb="FFFFCC80"/>
      </bottom>
      <diagonal/>
    </border>
    <border>
      <left style="thin">
        <color rgb="FFFFCC80"/>
      </left>
      <right style="thin">
        <color rgb="FFFFCC80"/>
      </right>
      <top style="thin">
        <color rgb="FFFFCC80"/>
      </top>
      <bottom style="thin">
        <color rgb="FFFFCC80"/>
      </bottom>
      <diagonal/>
    </border>
    <border>
      <left style="thin">
        <color rgb="FFFFCC80"/>
      </left>
      <right style="thin">
        <color rgb="FFFFCC80"/>
      </right>
      <top style="thin">
        <color rgb="FFFFCC80"/>
      </top>
      <bottom/>
      <diagonal/>
    </border>
    <border>
      <left style="thin">
        <color rgb="FF81D4FA"/>
      </left>
      <right style="thin">
        <color rgb="FF81D4FA"/>
      </right>
      <top style="medium">
        <color rgb="FF0277BD"/>
      </top>
      <bottom/>
      <diagonal/>
    </border>
    <border>
      <left style="thin">
        <color rgb="FF81D4FA"/>
      </left>
      <right style="medium">
        <color rgb="FF0277BD"/>
      </right>
      <top style="medium">
        <color rgb="FF0277BD"/>
      </top>
      <bottom/>
      <diagonal/>
    </border>
    <border>
      <left style="thin">
        <color rgb="FF81D4FA"/>
      </left>
      <right style="thin">
        <color rgb="FF81D4FA"/>
      </right>
      <top/>
      <bottom style="thin">
        <color rgb="FF81D4FA"/>
      </bottom>
      <diagonal/>
    </border>
    <border>
      <left style="thin">
        <color rgb="FF81D4FA"/>
      </left>
      <right style="thin">
        <color rgb="FF81D4FA"/>
      </right>
      <top style="thin">
        <color rgb="FF81D4FA"/>
      </top>
      <bottom style="thin">
        <color rgb="FF81D4FA"/>
      </bottom>
      <diagonal/>
    </border>
    <border>
      <left style="thin">
        <color rgb="FF81D4FA"/>
      </left>
      <right style="thin">
        <color rgb="FF81D4FA"/>
      </right>
      <top style="thin">
        <color rgb="FF81D4FA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C5E1A5"/>
      </right>
      <top style="medium">
        <color rgb="FF2E7D32"/>
      </top>
      <bottom/>
      <diagonal/>
    </border>
    <border>
      <left/>
      <right style="thin">
        <color rgb="FFC5E1A5"/>
      </right>
      <top/>
      <bottom style="thin">
        <color rgb="FFC5E1A5"/>
      </bottom>
      <diagonal/>
    </border>
    <border>
      <left/>
      <right style="thin">
        <color rgb="FFFFCC80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333333"/>
      </bottom>
      <diagonal/>
    </border>
  </borders>
  <cellStyleXfs count="13">
    <xf numFmtId="0" fontId="0" fillId="0" borderId="0"/>
    <xf numFmtId="0" fontId="7" fillId="0" borderId="3"/>
    <xf numFmtId="0" fontId="7" fillId="0" borderId="3"/>
    <xf numFmtId="0" fontId="7" fillId="0" borderId="3"/>
    <xf numFmtId="0" fontId="7" fillId="0" borderId="3"/>
    <xf numFmtId="9" fontId="7" fillId="0" borderId="0" applyFont="0" applyFill="0" applyBorder="0" applyAlignment="0" applyProtection="0"/>
    <xf numFmtId="0" fontId="7" fillId="0" borderId="3"/>
    <xf numFmtId="0" fontId="7" fillId="0" borderId="3"/>
    <xf numFmtId="0" fontId="7" fillId="0" borderId="3"/>
    <xf numFmtId="9" fontId="7" fillId="0" borderId="3" applyFont="0" applyFill="0" applyBorder="0" applyAlignment="0" applyProtection="0"/>
    <xf numFmtId="0" fontId="7" fillId="0" borderId="3"/>
    <xf numFmtId="0" fontId="54" fillId="0" borderId="0" applyNumberFormat="0" applyFill="0" applyBorder="0" applyAlignment="0" applyProtection="0"/>
    <xf numFmtId="0" fontId="7" fillId="0" borderId="3"/>
  </cellStyleXfs>
  <cellXfs count="931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14" fontId="3" fillId="0" borderId="1" xfId="0" applyNumberFormat="1" applyFont="1" applyBorder="1" applyAlignment="1">
      <alignment horizontal="left" vertical="center" wrapText="1"/>
    </xf>
    <xf numFmtId="22" fontId="3" fillId="0" borderId="1" xfId="0" applyNumberFormat="1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1" fontId="3" fillId="0" borderId="1" xfId="0" applyNumberFormat="1" applyFont="1" applyBorder="1" applyAlignment="1">
      <alignment horizontal="left" vertical="center" wrapText="1"/>
    </xf>
    <xf numFmtId="1" fontId="4" fillId="0" borderId="1" xfId="0" applyNumberFormat="1" applyFont="1" applyBorder="1" applyAlignment="1">
      <alignment horizontal="left" vertical="center" wrapText="1"/>
    </xf>
    <xf numFmtId="0" fontId="0" fillId="0" borderId="3" xfId="0" applyBorder="1"/>
    <xf numFmtId="1" fontId="6" fillId="0" borderId="1" xfId="0" applyNumberFormat="1" applyFont="1" applyBorder="1"/>
    <xf numFmtId="0" fontId="4" fillId="0" borderId="1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0" fillId="4" borderId="0" xfId="0" applyFill="1"/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/>
    <xf numFmtId="0" fontId="3" fillId="0" borderId="1" xfId="0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/>
    <xf numFmtId="0" fontId="0" fillId="3" borderId="4" xfId="0" applyFill="1" applyBorder="1" applyAlignment="1">
      <alignment horizontal="left" vertical="center" wrapText="1"/>
    </xf>
    <xf numFmtId="0" fontId="0" fillId="0" borderId="4" xfId="0" applyBorder="1" applyAlignment="1">
      <alignment horizontal="center"/>
    </xf>
    <xf numFmtId="2" fontId="3" fillId="0" borderId="1" xfId="0" applyNumberFormat="1" applyFont="1" applyBorder="1" applyAlignment="1">
      <alignment horizontal="center" vertical="center" wrapText="1"/>
    </xf>
    <xf numFmtId="2" fontId="3" fillId="0" borderId="5" xfId="0" applyNumberFormat="1" applyFont="1" applyBorder="1" applyAlignment="1">
      <alignment horizontal="center" vertical="center" wrapText="1"/>
    </xf>
    <xf numFmtId="14" fontId="9" fillId="0" borderId="0" xfId="0" applyNumberFormat="1" applyFont="1" applyAlignment="1">
      <alignment horizontal="center"/>
    </xf>
    <xf numFmtId="0" fontId="2" fillId="3" borderId="4" xfId="0" applyFont="1" applyFill="1" applyBorder="1" applyAlignment="1">
      <alignment horizontal="left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1" fontId="4" fillId="0" borderId="1" xfId="0" applyNumberFormat="1" applyFont="1" applyBorder="1" applyAlignment="1">
      <alignment horizontal="center" vertical="center" wrapText="1"/>
    </xf>
    <xf numFmtId="2" fontId="20" fillId="0" borderId="1" xfId="0" applyNumberFormat="1" applyFont="1" applyBorder="1" applyAlignment="1">
      <alignment horizontal="center" vertical="center" wrapText="1"/>
    </xf>
    <xf numFmtId="0" fontId="18" fillId="0" borderId="3" xfId="0" applyFont="1" applyBorder="1"/>
    <xf numFmtId="0" fontId="19" fillId="8" borderId="0" xfId="0" applyFont="1" applyFill="1" applyAlignment="1">
      <alignment horizontal="center"/>
    </xf>
    <xf numFmtId="0" fontId="19" fillId="0" borderId="0" xfId="0" applyFont="1"/>
    <xf numFmtId="0" fontId="0" fillId="0" borderId="1" xfId="0" applyBorder="1" applyAlignment="1">
      <alignment horizontal="center"/>
    </xf>
    <xf numFmtId="10" fontId="3" fillId="0" borderId="1" xfId="0" applyNumberFormat="1" applyFont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2" fontId="0" fillId="0" borderId="0" xfId="0" applyNumberFormat="1"/>
    <xf numFmtId="0" fontId="0" fillId="6" borderId="0" xfId="0" applyFill="1"/>
    <xf numFmtId="165" fontId="3" fillId="0" borderId="1" xfId="0" applyNumberFormat="1" applyFont="1" applyBorder="1" applyAlignment="1">
      <alignment horizontal="center" vertical="center" wrapText="1"/>
    </xf>
    <xf numFmtId="0" fontId="21" fillId="3" borderId="1" xfId="0" applyFont="1" applyFill="1" applyBorder="1"/>
    <xf numFmtId="164" fontId="3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justify" vertical="center" wrapText="1"/>
    </xf>
    <xf numFmtId="1" fontId="20" fillId="0" borderId="1" xfId="0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" fillId="6" borderId="0" xfId="0" applyFont="1" applyFill="1" applyAlignment="1">
      <alignment vertical="center" wrapText="1"/>
    </xf>
    <xf numFmtId="2" fontId="20" fillId="0" borderId="1" xfId="0" applyNumberFormat="1" applyFont="1" applyBorder="1" applyAlignment="1">
      <alignment horizontal="left" vertical="center" wrapText="1"/>
    </xf>
    <xf numFmtId="0" fontId="20" fillId="0" borderId="1" xfId="0" applyFont="1" applyBorder="1" applyAlignment="1">
      <alignment horizontal="left" vertical="center" wrapText="1"/>
    </xf>
    <xf numFmtId="22" fontId="20" fillId="0" borderId="1" xfId="0" applyNumberFormat="1" applyFont="1" applyBorder="1" applyAlignment="1">
      <alignment horizontal="left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2" fillId="3" borderId="4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14" fontId="20" fillId="0" borderId="1" xfId="0" applyNumberFormat="1" applyFont="1" applyBorder="1" applyAlignment="1">
      <alignment horizontal="center" vertical="center" wrapText="1"/>
    </xf>
    <xf numFmtId="167" fontId="4" fillId="0" borderId="1" xfId="5" applyNumberFormat="1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22" fontId="20" fillId="0" borderId="1" xfId="0" applyNumberFormat="1" applyFont="1" applyBorder="1" applyAlignment="1">
      <alignment horizontal="center" vertical="center" wrapText="1"/>
    </xf>
    <xf numFmtId="0" fontId="9" fillId="0" borderId="0" xfId="0" applyFont="1"/>
    <xf numFmtId="0" fontId="9" fillId="0" borderId="0" xfId="0" applyFont="1" applyAlignment="1">
      <alignment horizontal="center"/>
    </xf>
    <xf numFmtId="10" fontId="20" fillId="8" borderId="1" xfId="0" applyNumberFormat="1" applyFont="1" applyFill="1" applyBorder="1" applyAlignment="1">
      <alignment horizontal="center"/>
    </xf>
    <xf numFmtId="10" fontId="20" fillId="8" borderId="1" xfId="0" applyNumberFormat="1" applyFont="1" applyFill="1" applyBorder="1" applyAlignment="1">
      <alignment horizontal="center" vertical="center" wrapText="1"/>
    </xf>
    <xf numFmtId="2" fontId="20" fillId="0" borderId="1" xfId="0" applyNumberFormat="1" applyFont="1" applyBorder="1" applyAlignment="1">
      <alignment horizontal="center"/>
    </xf>
    <xf numFmtId="166" fontId="20" fillId="0" borderId="1" xfId="0" applyNumberFormat="1" applyFont="1" applyBorder="1" applyAlignment="1">
      <alignment horizontal="center"/>
    </xf>
    <xf numFmtId="10" fontId="20" fillId="0" borderId="1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14" fontId="23" fillId="0" borderId="1" xfId="0" applyNumberFormat="1" applyFont="1" applyBorder="1" applyAlignment="1">
      <alignment horizontal="left" vertical="center" wrapText="1"/>
    </xf>
    <xf numFmtId="14" fontId="23" fillId="0" borderId="3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left"/>
    </xf>
    <xf numFmtId="3" fontId="0" fillId="0" borderId="0" xfId="0" applyNumberFormat="1"/>
    <xf numFmtId="0" fontId="0" fillId="0" borderId="12" xfId="0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164" fontId="20" fillId="0" borderId="1" xfId="0" applyNumberFormat="1" applyFont="1" applyBorder="1" applyAlignment="1">
      <alignment horizontal="center" vertical="center" wrapText="1"/>
    </xf>
    <xf numFmtId="9" fontId="20" fillId="0" borderId="1" xfId="5" applyFont="1" applyBorder="1" applyAlignment="1">
      <alignment horizontal="center" vertical="center" wrapText="1"/>
    </xf>
    <xf numFmtId="168" fontId="20" fillId="0" borderId="3" xfId="0" applyNumberFormat="1" applyFont="1" applyBorder="1" applyAlignment="1">
      <alignment horizontal="left" vertical="center" wrapText="1"/>
    </xf>
    <xf numFmtId="169" fontId="0" fillId="0" borderId="0" xfId="0" applyNumberFormat="1"/>
    <xf numFmtId="0" fontId="24" fillId="0" borderId="0" xfId="0" applyFont="1"/>
    <xf numFmtId="0" fontId="18" fillId="0" borderId="0" xfId="0" applyFont="1" applyAlignment="1">
      <alignment horizontal="left"/>
    </xf>
    <xf numFmtId="0" fontId="2" fillId="3" borderId="21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12" borderId="33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12" borderId="39" xfId="0" applyFont="1" applyFill="1" applyBorder="1" applyAlignment="1">
      <alignment horizontal="center" vertical="center" wrapText="1"/>
    </xf>
    <xf numFmtId="0" fontId="18" fillId="4" borderId="0" xfId="0" applyFont="1" applyFill="1"/>
    <xf numFmtId="2" fontId="20" fillId="0" borderId="12" xfId="0" applyNumberFormat="1" applyFont="1" applyBorder="1" applyAlignment="1">
      <alignment horizontal="center" vertical="center" wrapText="1"/>
    </xf>
    <xf numFmtId="2" fontId="20" fillId="0" borderId="17" xfId="0" applyNumberFormat="1" applyFont="1" applyBorder="1" applyAlignment="1">
      <alignment horizontal="center" vertical="center" wrapText="1"/>
    </xf>
    <xf numFmtId="2" fontId="20" fillId="0" borderId="4" xfId="0" applyNumberFormat="1" applyFont="1" applyBorder="1" applyAlignment="1">
      <alignment horizontal="center" vertical="center" wrapText="1"/>
    </xf>
    <xf numFmtId="2" fontId="20" fillId="0" borderId="13" xfId="0" applyNumberFormat="1" applyFont="1" applyBorder="1" applyAlignment="1">
      <alignment horizontal="center" vertical="center" wrapText="1"/>
    </xf>
    <xf numFmtId="2" fontId="20" fillId="0" borderId="18" xfId="0" applyNumberFormat="1" applyFont="1" applyBorder="1" applyAlignment="1">
      <alignment horizontal="center" vertical="center" wrapText="1"/>
    </xf>
    <xf numFmtId="2" fontId="20" fillId="0" borderId="2" xfId="0" applyNumberFormat="1" applyFont="1" applyBorder="1" applyAlignment="1">
      <alignment horizontal="center" vertical="center" wrapText="1"/>
    </xf>
    <xf numFmtId="0" fontId="20" fillId="0" borderId="25" xfId="0" applyFont="1" applyBorder="1" applyAlignment="1">
      <alignment horizontal="center" vertical="center" wrapText="1"/>
    </xf>
    <xf numFmtId="164" fontId="20" fillId="0" borderId="25" xfId="0" applyNumberFormat="1" applyFont="1" applyBorder="1" applyAlignment="1">
      <alignment horizontal="center" vertical="center" wrapText="1"/>
    </xf>
    <xf numFmtId="164" fontId="20" fillId="0" borderId="24" xfId="0" applyNumberFormat="1" applyFont="1" applyBorder="1" applyAlignment="1">
      <alignment horizontal="center" vertical="center" wrapText="1"/>
    </xf>
    <xf numFmtId="2" fontId="20" fillId="0" borderId="30" xfId="0" applyNumberFormat="1" applyFont="1" applyBorder="1" applyAlignment="1">
      <alignment horizontal="center" vertical="center" wrapText="1"/>
    </xf>
    <xf numFmtId="164" fontId="20" fillId="0" borderId="27" xfId="0" applyNumberFormat="1" applyFont="1" applyBorder="1" applyAlignment="1">
      <alignment horizontal="center" vertical="center" wrapText="1"/>
    </xf>
    <xf numFmtId="164" fontId="20" fillId="0" borderId="28" xfId="0" applyNumberFormat="1" applyFont="1" applyBorder="1" applyAlignment="1">
      <alignment horizontal="center" vertical="center" wrapText="1"/>
    </xf>
    <xf numFmtId="164" fontId="20" fillId="0" borderId="26" xfId="0" applyNumberFormat="1" applyFont="1" applyBorder="1" applyAlignment="1">
      <alignment horizontal="center" vertical="center" wrapText="1"/>
    </xf>
    <xf numFmtId="1" fontId="20" fillId="0" borderId="27" xfId="0" applyNumberFormat="1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 wrapText="1"/>
    </xf>
    <xf numFmtId="0" fontId="26" fillId="0" borderId="3" xfId="0" applyFont="1" applyBorder="1"/>
    <xf numFmtId="0" fontId="26" fillId="0" borderId="0" xfId="0" applyFont="1"/>
    <xf numFmtId="0" fontId="20" fillId="0" borderId="3" xfId="0" applyFont="1" applyBorder="1" applyAlignment="1">
      <alignment horizontal="center" vertical="center" wrapText="1"/>
    </xf>
    <xf numFmtId="2" fontId="18" fillId="0" borderId="0" xfId="0" applyNumberFormat="1" applyFont="1"/>
    <xf numFmtId="2" fontId="18" fillId="0" borderId="3" xfId="0" applyNumberFormat="1" applyFont="1" applyBorder="1"/>
    <xf numFmtId="2" fontId="20" fillId="0" borderId="3" xfId="0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/>
    </xf>
    <xf numFmtId="0" fontId="24" fillId="8" borderId="0" xfId="0" applyFont="1" applyFill="1" applyAlignment="1">
      <alignment horizontal="center"/>
    </xf>
    <xf numFmtId="0" fontId="24" fillId="8" borderId="0" xfId="0" applyFont="1" applyFill="1" applyAlignment="1">
      <alignment horizontal="right"/>
    </xf>
    <xf numFmtId="0" fontId="24" fillId="0" borderId="0" xfId="0" applyFont="1" applyAlignment="1">
      <alignment horizontal="right"/>
    </xf>
    <xf numFmtId="0" fontId="29" fillId="8" borderId="0" xfId="0" applyFont="1" applyFill="1" applyAlignment="1">
      <alignment horizontal="center"/>
    </xf>
    <xf numFmtId="0" fontId="2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/>
    <xf numFmtId="0" fontId="2" fillId="3" borderId="52" xfId="0" applyFont="1" applyFill="1" applyBorder="1" applyAlignment="1">
      <alignment horizontal="center" vertical="center" wrapText="1"/>
    </xf>
    <xf numFmtId="0" fontId="2" fillId="3" borderId="53" xfId="0" applyFont="1" applyFill="1" applyBorder="1" applyAlignment="1">
      <alignment horizontal="center" vertical="center" wrapText="1"/>
    </xf>
    <xf numFmtId="165" fontId="20" fillId="8" borderId="49" xfId="0" applyNumberFormat="1" applyFont="1" applyFill="1" applyBorder="1" applyAlignment="1">
      <alignment horizontal="center" vertical="center" wrapText="1"/>
    </xf>
    <xf numFmtId="165" fontId="20" fillId="8" borderId="11" xfId="0" applyNumberFormat="1" applyFont="1" applyFill="1" applyBorder="1" applyAlignment="1">
      <alignment horizontal="center" vertical="center" wrapText="1"/>
    </xf>
    <xf numFmtId="0" fontId="2" fillId="9" borderId="31" xfId="0" applyFont="1" applyFill="1" applyBorder="1" applyAlignment="1">
      <alignment horizontal="center" vertical="center" wrapText="1"/>
    </xf>
    <xf numFmtId="0" fontId="2" fillId="9" borderId="47" xfId="0" applyFont="1" applyFill="1" applyBorder="1" applyAlignment="1">
      <alignment horizontal="center" vertical="center" wrapText="1"/>
    </xf>
    <xf numFmtId="0" fontId="2" fillId="9" borderId="43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45" xfId="0" applyFont="1" applyFill="1" applyBorder="1" applyAlignment="1">
      <alignment horizontal="center" vertical="center" wrapText="1"/>
    </xf>
    <xf numFmtId="0" fontId="2" fillId="15" borderId="46" xfId="0" applyFont="1" applyFill="1" applyBorder="1" applyAlignment="1">
      <alignment horizontal="center" vertical="center" wrapText="1"/>
    </xf>
    <xf numFmtId="0" fontId="2" fillId="7" borderId="33" xfId="0" applyFont="1" applyFill="1" applyBorder="1" applyAlignment="1">
      <alignment horizontal="center" vertical="center" wrapText="1"/>
    </xf>
    <xf numFmtId="0" fontId="2" fillId="7" borderId="35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2" fontId="2" fillId="0" borderId="57" xfId="0" applyNumberFormat="1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2" fontId="2" fillId="0" borderId="58" xfId="0" applyNumberFormat="1" applyFont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48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6" fillId="8" borderId="0" xfId="0" applyFont="1" applyFill="1"/>
    <xf numFmtId="170" fontId="20" fillId="0" borderId="11" xfId="0" applyNumberFormat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32" fillId="0" borderId="3" xfId="0" applyFont="1" applyBorder="1" applyAlignment="1">
      <alignment horizontal="center" vertical="center" wrapText="1"/>
    </xf>
    <xf numFmtId="2" fontId="20" fillId="0" borderId="19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2" fontId="2" fillId="0" borderId="56" xfId="0" applyNumberFormat="1" applyFont="1" applyBorder="1" applyAlignment="1">
      <alignment horizontal="center" vertical="center" wrapText="1"/>
    </xf>
    <xf numFmtId="0" fontId="36" fillId="0" borderId="0" xfId="0" applyFont="1" applyAlignment="1">
      <alignment horizontal="left" vertical="center" indent="4"/>
    </xf>
    <xf numFmtId="0" fontId="0" fillId="0" borderId="0" xfId="0" applyAlignment="1">
      <alignment horizontal="left" vertical="center" indent="1"/>
    </xf>
    <xf numFmtId="0" fontId="36" fillId="0" borderId="0" xfId="0" applyFont="1" applyAlignment="1">
      <alignment horizontal="left" vertical="center" indent="1"/>
    </xf>
    <xf numFmtId="165" fontId="20" fillId="16" borderId="75" xfId="0" applyNumberFormat="1" applyFont="1" applyFill="1" applyBorder="1" applyAlignment="1">
      <alignment horizontal="center" vertical="center" wrapText="1"/>
    </xf>
    <xf numFmtId="0" fontId="2" fillId="7" borderId="76" xfId="0" applyFont="1" applyFill="1" applyBorder="1" applyAlignment="1">
      <alignment horizontal="center" vertical="center" wrapText="1"/>
    </xf>
    <xf numFmtId="2" fontId="20" fillId="12" borderId="4" xfId="0" applyNumberFormat="1" applyFont="1" applyFill="1" applyBorder="1" applyAlignment="1">
      <alignment horizontal="center" vertical="center" wrapText="1"/>
    </xf>
    <xf numFmtId="165" fontId="20" fillId="16" borderId="74" xfId="0" applyNumberFormat="1" applyFont="1" applyFill="1" applyBorder="1" applyAlignment="1">
      <alignment horizontal="center" vertical="center" wrapText="1"/>
    </xf>
    <xf numFmtId="165" fontId="20" fillId="16" borderId="59" xfId="0" applyNumberFormat="1" applyFont="1" applyFill="1" applyBorder="1" applyAlignment="1">
      <alignment horizontal="center" vertical="center" wrapText="1"/>
    </xf>
    <xf numFmtId="165" fontId="20" fillId="16" borderId="20" xfId="0" applyNumberFormat="1" applyFont="1" applyFill="1" applyBorder="1" applyAlignment="1">
      <alignment horizontal="center" vertical="center" wrapText="1"/>
    </xf>
    <xf numFmtId="2" fontId="20" fillId="12" borderId="37" xfId="0" applyNumberFormat="1" applyFont="1" applyFill="1" applyBorder="1" applyAlignment="1">
      <alignment horizontal="center" vertical="center" wrapText="1"/>
    </xf>
    <xf numFmtId="0" fontId="18" fillId="0" borderId="4" xfId="0" applyFont="1" applyBorder="1"/>
    <xf numFmtId="0" fontId="2" fillId="4" borderId="34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4" borderId="33" xfId="0" applyFont="1" applyFill="1" applyBorder="1" applyAlignment="1">
      <alignment horizontal="center" vertical="center" wrapText="1"/>
    </xf>
    <xf numFmtId="0" fontId="32" fillId="17" borderId="61" xfId="0" applyFont="1" applyFill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 wrapText="1"/>
    </xf>
    <xf numFmtId="2" fontId="2" fillId="0" borderId="65" xfId="0" applyNumberFormat="1" applyFont="1" applyBorder="1" applyAlignment="1">
      <alignment horizontal="center" vertical="center" wrapText="1"/>
    </xf>
    <xf numFmtId="2" fontId="20" fillId="3" borderId="4" xfId="0" applyNumberFormat="1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2" fontId="18" fillId="0" borderId="4" xfId="0" applyNumberFormat="1" applyFont="1" applyBorder="1" applyAlignment="1">
      <alignment horizontal="center" vertical="center"/>
    </xf>
    <xf numFmtId="0" fontId="2" fillId="4" borderId="39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" fillId="18" borderId="51" xfId="0" applyFont="1" applyFill="1" applyBorder="1" applyAlignment="1">
      <alignment horizontal="center" vertical="center" wrapText="1"/>
    </xf>
    <xf numFmtId="165" fontId="20" fillId="16" borderId="82" xfId="0" applyNumberFormat="1" applyFont="1" applyFill="1" applyBorder="1" applyAlignment="1">
      <alignment horizontal="center" vertical="center" wrapText="1"/>
    </xf>
    <xf numFmtId="165" fontId="20" fillId="12" borderId="37" xfId="0" applyNumberFormat="1" applyFont="1" applyFill="1" applyBorder="1" applyAlignment="1">
      <alignment horizontal="center" vertical="center" wrapText="1"/>
    </xf>
    <xf numFmtId="2" fontId="2" fillId="0" borderId="63" xfId="0" applyNumberFormat="1" applyFont="1" applyBorder="1" applyAlignment="1">
      <alignment horizontal="center" vertical="center" wrapText="1"/>
    </xf>
    <xf numFmtId="9" fontId="20" fillId="12" borderId="17" xfId="5" applyFont="1" applyFill="1" applyBorder="1" applyAlignment="1">
      <alignment horizontal="center" vertical="center" wrapText="1"/>
    </xf>
    <xf numFmtId="9" fontId="20" fillId="12" borderId="4" xfId="5" applyFont="1" applyFill="1" applyBorder="1" applyAlignment="1">
      <alignment horizontal="center" vertical="center" wrapText="1"/>
    </xf>
    <xf numFmtId="9" fontId="20" fillId="12" borderId="18" xfId="5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 wrapText="1"/>
    </xf>
    <xf numFmtId="170" fontId="20" fillId="0" borderId="49" xfId="0" applyNumberFormat="1" applyFont="1" applyBorder="1" applyAlignment="1">
      <alignment horizontal="center" vertical="center" wrapText="1"/>
    </xf>
    <xf numFmtId="166" fontId="2" fillId="0" borderId="52" xfId="0" applyNumberFormat="1" applyFont="1" applyBorder="1" applyAlignment="1">
      <alignment horizontal="center" vertical="center" wrapText="1"/>
    </xf>
    <xf numFmtId="166" fontId="26" fillId="0" borderId="0" xfId="0" applyNumberFormat="1" applyFont="1"/>
    <xf numFmtId="166" fontId="2" fillId="0" borderId="61" xfId="0" applyNumberFormat="1" applyFont="1" applyBorder="1" applyAlignment="1">
      <alignment horizontal="center" vertical="center" wrapText="1"/>
    </xf>
    <xf numFmtId="166" fontId="20" fillId="0" borderId="3" xfId="0" applyNumberFormat="1" applyFont="1" applyBorder="1" applyAlignment="1">
      <alignment horizontal="center" vertical="center" wrapText="1"/>
    </xf>
    <xf numFmtId="166" fontId="18" fillId="0" borderId="0" xfId="0" applyNumberFormat="1" applyFont="1" applyAlignment="1">
      <alignment horizontal="center"/>
    </xf>
    <xf numFmtId="166" fontId="18" fillId="0" borderId="0" xfId="0" applyNumberFormat="1" applyFont="1"/>
    <xf numFmtId="166" fontId="18" fillId="0" borderId="3" xfId="0" applyNumberFormat="1" applyFont="1" applyBorder="1"/>
    <xf numFmtId="166" fontId="26" fillId="0" borderId="3" xfId="0" applyNumberFormat="1" applyFont="1" applyBorder="1" applyAlignment="1">
      <alignment horizontal="center"/>
    </xf>
    <xf numFmtId="166" fontId="2" fillId="0" borderId="3" xfId="0" applyNumberFormat="1" applyFont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65" fontId="20" fillId="9" borderId="20" xfId="0" applyNumberFormat="1" applyFont="1" applyFill="1" applyBorder="1" applyAlignment="1">
      <alignment horizontal="center" vertical="center" wrapText="1"/>
    </xf>
    <xf numFmtId="165" fontId="20" fillId="9" borderId="75" xfId="0" applyNumberFormat="1" applyFont="1" applyFill="1" applyBorder="1" applyAlignment="1">
      <alignment horizontal="center" vertical="center" wrapText="1"/>
    </xf>
    <xf numFmtId="166" fontId="26" fillId="21" borderId="4" xfId="0" applyNumberFormat="1" applyFont="1" applyFill="1" applyBorder="1" applyAlignment="1">
      <alignment horizontal="center"/>
    </xf>
    <xf numFmtId="166" fontId="26" fillId="22" borderId="37" xfId="0" applyNumberFormat="1" applyFont="1" applyFill="1" applyBorder="1" applyAlignment="1">
      <alignment horizontal="center"/>
    </xf>
    <xf numFmtId="166" fontId="2" fillId="9" borderId="34" xfId="0" applyNumberFormat="1" applyFont="1" applyFill="1" applyBorder="1" applyAlignment="1">
      <alignment horizontal="center" vertical="center" wrapText="1"/>
    </xf>
    <xf numFmtId="166" fontId="2" fillId="9" borderId="35" xfId="0" applyNumberFormat="1" applyFont="1" applyFill="1" applyBorder="1" applyAlignment="1">
      <alignment horizontal="center" vertical="center" wrapText="1"/>
    </xf>
    <xf numFmtId="166" fontId="26" fillId="21" borderId="18" xfId="0" applyNumberFormat="1" applyFont="1" applyFill="1" applyBorder="1" applyAlignment="1">
      <alignment horizontal="center"/>
    </xf>
    <xf numFmtId="166" fontId="26" fillId="22" borderId="38" xfId="0" applyNumberFormat="1" applyFont="1" applyFill="1" applyBorder="1" applyAlignment="1">
      <alignment horizontal="center"/>
    </xf>
    <xf numFmtId="0" fontId="2" fillId="15" borderId="87" xfId="0" applyFont="1" applyFill="1" applyBorder="1" applyAlignment="1">
      <alignment horizontal="center" vertical="center" wrapText="1"/>
    </xf>
    <xf numFmtId="166" fontId="2" fillId="9" borderId="88" xfId="0" applyNumberFormat="1" applyFont="1" applyFill="1" applyBorder="1" applyAlignment="1">
      <alignment horizontal="center" vertical="center" wrapText="1"/>
    </xf>
    <xf numFmtId="166" fontId="26" fillId="21" borderId="19" xfId="0" applyNumberFormat="1" applyFont="1" applyFill="1" applyBorder="1" applyAlignment="1">
      <alignment horizontal="center"/>
    </xf>
    <xf numFmtId="166" fontId="26" fillId="22" borderId="83" xfId="0" applyNumberFormat="1" applyFont="1" applyFill="1" applyBorder="1" applyAlignment="1">
      <alignment horizontal="center"/>
    </xf>
    <xf numFmtId="166" fontId="2" fillId="9" borderId="33" xfId="0" applyNumberFormat="1" applyFont="1" applyFill="1" applyBorder="1" applyAlignment="1">
      <alignment horizontal="center" vertical="center" wrapText="1"/>
    </xf>
    <xf numFmtId="166" fontId="26" fillId="21" borderId="17" xfId="0" applyNumberFormat="1" applyFont="1" applyFill="1" applyBorder="1" applyAlignment="1">
      <alignment horizontal="center"/>
    </xf>
    <xf numFmtId="166" fontId="26" fillId="22" borderId="36" xfId="0" applyNumberFormat="1" applyFont="1" applyFill="1" applyBorder="1" applyAlignment="1">
      <alignment horizontal="center"/>
    </xf>
    <xf numFmtId="0" fontId="2" fillId="3" borderId="55" xfId="0" applyFont="1" applyFill="1" applyBorder="1" applyAlignment="1">
      <alignment horizontal="center" vertical="center" wrapText="1"/>
    </xf>
    <xf numFmtId="166" fontId="2" fillId="9" borderId="39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Border="1" applyAlignment="1">
      <alignment horizontal="center" vertical="center" wrapText="1"/>
    </xf>
    <xf numFmtId="0" fontId="2" fillId="15" borderId="70" xfId="0" applyFont="1" applyFill="1" applyBorder="1" applyAlignment="1">
      <alignment horizontal="center" vertical="center" wrapText="1"/>
    </xf>
    <xf numFmtId="0" fontId="2" fillId="15" borderId="56" xfId="0" applyFont="1" applyFill="1" applyBorder="1" applyAlignment="1">
      <alignment horizontal="center" vertical="center" wrapText="1"/>
    </xf>
    <xf numFmtId="0" fontId="2" fillId="15" borderId="79" xfId="0" applyFont="1" applyFill="1" applyBorder="1" applyAlignment="1">
      <alignment horizontal="center" vertical="center" wrapText="1"/>
    </xf>
    <xf numFmtId="0" fontId="2" fillId="15" borderId="54" xfId="0" applyFont="1" applyFill="1" applyBorder="1" applyAlignment="1">
      <alignment horizontal="center" vertical="center" wrapText="1"/>
    </xf>
    <xf numFmtId="165" fontId="20" fillId="16" borderId="85" xfId="0" applyNumberFormat="1" applyFont="1" applyFill="1" applyBorder="1" applyAlignment="1">
      <alignment horizontal="center" vertical="center" wrapText="1"/>
    </xf>
    <xf numFmtId="166" fontId="26" fillId="15" borderId="0" xfId="0" applyNumberFormat="1" applyFont="1" applyFill="1" applyAlignment="1">
      <alignment horizontal="center" vertical="center"/>
    </xf>
    <xf numFmtId="0" fontId="26" fillId="8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166" fontId="30" fillId="3" borderId="4" xfId="0" applyNumberFormat="1" applyFont="1" applyFill="1" applyBorder="1"/>
    <xf numFmtId="0" fontId="30" fillId="3" borderId="4" xfId="0" applyFont="1" applyFill="1" applyBorder="1"/>
    <xf numFmtId="165" fontId="35" fillId="0" borderId="4" xfId="0" applyNumberFormat="1" applyFont="1" applyBorder="1" applyAlignment="1">
      <alignment horizontal="center" vertical="center" wrapText="1"/>
    </xf>
    <xf numFmtId="0" fontId="30" fillId="7" borderId="4" xfId="0" applyFont="1" applyFill="1" applyBorder="1"/>
    <xf numFmtId="0" fontId="24" fillId="0" borderId="4" xfId="0" applyFont="1" applyBorder="1"/>
    <xf numFmtId="0" fontId="24" fillId="8" borderId="4" xfId="0" applyFont="1" applyFill="1" applyBorder="1" applyAlignment="1">
      <alignment horizontal="center"/>
    </xf>
    <xf numFmtId="0" fontId="29" fillId="8" borderId="4" xfId="0" applyFont="1" applyFill="1" applyBorder="1" applyAlignment="1">
      <alignment horizontal="center"/>
    </xf>
    <xf numFmtId="165" fontId="20" fillId="0" borderId="1" xfId="0" applyNumberFormat="1" applyFont="1" applyBorder="1" applyAlignment="1">
      <alignment horizontal="left" vertical="center" wrapText="1"/>
    </xf>
    <xf numFmtId="166" fontId="18" fillId="0" borderId="4" xfId="0" applyNumberFormat="1" applyFont="1" applyBorder="1" applyAlignment="1">
      <alignment horizontal="center" vertical="center"/>
    </xf>
    <xf numFmtId="2" fontId="2" fillId="0" borderId="66" xfId="0" applyNumberFormat="1" applyFont="1" applyBorder="1" applyAlignment="1">
      <alignment horizontal="center" vertical="center" wrapText="1"/>
    </xf>
    <xf numFmtId="2" fontId="20" fillId="0" borderId="82" xfId="0" applyNumberFormat="1" applyFont="1" applyBorder="1" applyAlignment="1">
      <alignment horizontal="center" vertical="center" wrapText="1"/>
    </xf>
    <xf numFmtId="164" fontId="20" fillId="0" borderId="82" xfId="0" applyNumberFormat="1" applyFont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6" xfId="0" applyFont="1" applyBorder="1" applyAlignment="1">
      <alignment horizontal="center" vertical="center"/>
    </xf>
    <xf numFmtId="166" fontId="9" fillId="6" borderId="0" xfId="0" applyNumberFormat="1" applyFont="1" applyFill="1"/>
    <xf numFmtId="165" fontId="20" fillId="16" borderId="50" xfId="0" applyNumberFormat="1" applyFont="1" applyFill="1" applyBorder="1" applyAlignment="1">
      <alignment horizontal="center" vertical="center" wrapText="1"/>
    </xf>
    <xf numFmtId="165" fontId="20" fillId="9" borderId="48" xfId="0" applyNumberFormat="1" applyFont="1" applyFill="1" applyBorder="1" applyAlignment="1">
      <alignment horizontal="center" vertical="center" wrapText="1"/>
    </xf>
    <xf numFmtId="165" fontId="20" fillId="9" borderId="51" xfId="0" applyNumberFormat="1" applyFont="1" applyFill="1" applyBorder="1" applyAlignment="1">
      <alignment horizontal="center" vertical="center" wrapText="1"/>
    </xf>
    <xf numFmtId="165" fontId="20" fillId="16" borderId="64" xfId="0" applyNumberFormat="1" applyFont="1" applyFill="1" applyBorder="1" applyAlignment="1">
      <alignment horizontal="center" vertical="center" wrapText="1"/>
    </xf>
    <xf numFmtId="165" fontId="20" fillId="16" borderId="69" xfId="0" applyNumberFormat="1" applyFont="1" applyFill="1" applyBorder="1" applyAlignment="1">
      <alignment horizontal="center" vertical="center" wrapText="1"/>
    </xf>
    <xf numFmtId="165" fontId="20" fillId="16" borderId="4" xfId="0" applyNumberFormat="1" applyFont="1" applyFill="1" applyBorder="1" applyAlignment="1">
      <alignment horizontal="center" vertical="center" wrapText="1"/>
    </xf>
    <xf numFmtId="165" fontId="20" fillId="16" borderId="13" xfId="0" applyNumberFormat="1" applyFont="1" applyFill="1" applyBorder="1" applyAlignment="1">
      <alignment horizontal="center" vertical="center" wrapText="1"/>
    </xf>
    <xf numFmtId="165" fontId="20" fillId="16" borderId="33" xfId="0" applyNumberFormat="1" applyFont="1" applyFill="1" applyBorder="1" applyAlignment="1">
      <alignment horizontal="center" vertical="center" wrapText="1"/>
    </xf>
    <xf numFmtId="165" fontId="20" fillId="16" borderId="17" xfId="0" applyNumberFormat="1" applyFont="1" applyFill="1" applyBorder="1" applyAlignment="1">
      <alignment horizontal="center" vertical="center" wrapText="1"/>
    </xf>
    <xf numFmtId="165" fontId="20" fillId="16" borderId="48" xfId="0" applyNumberFormat="1" applyFont="1" applyFill="1" applyBorder="1" applyAlignment="1">
      <alignment horizontal="center" vertical="center" wrapText="1"/>
    </xf>
    <xf numFmtId="165" fontId="20" fillId="16" borderId="51" xfId="0" applyNumberFormat="1" applyFont="1" applyFill="1" applyBorder="1" applyAlignment="1">
      <alignment horizontal="center" vertical="center" wrapText="1"/>
    </xf>
    <xf numFmtId="165" fontId="20" fillId="16" borderId="84" xfId="0" applyNumberFormat="1" applyFont="1" applyFill="1" applyBorder="1" applyAlignment="1">
      <alignment horizontal="center" vertical="center" wrapText="1"/>
    </xf>
    <xf numFmtId="165" fontId="20" fillId="16" borderId="3" xfId="0" applyNumberFormat="1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3" xfId="0" applyFont="1" applyFill="1" applyBorder="1" applyAlignment="1">
      <alignment horizontal="center" vertical="center" wrapText="1"/>
    </xf>
    <xf numFmtId="165" fontId="20" fillId="16" borderId="35" xfId="0" applyNumberFormat="1" applyFont="1" applyFill="1" applyBorder="1" applyAlignment="1">
      <alignment horizontal="center" vertical="center" wrapText="1"/>
    </xf>
    <xf numFmtId="165" fontId="20" fillId="16" borderId="18" xfId="0" applyNumberFormat="1" applyFont="1" applyFill="1" applyBorder="1" applyAlignment="1">
      <alignment horizontal="center" vertical="center" wrapText="1"/>
    </xf>
    <xf numFmtId="165" fontId="20" fillId="16" borderId="36" xfId="0" applyNumberFormat="1" applyFont="1" applyFill="1" applyBorder="1" applyAlignment="1">
      <alignment horizontal="center" vertical="center" wrapText="1"/>
    </xf>
    <xf numFmtId="165" fontId="20" fillId="16" borderId="38" xfId="0" applyNumberFormat="1" applyFont="1" applyFill="1" applyBorder="1" applyAlignment="1">
      <alignment horizontal="center" vertical="center" wrapText="1"/>
    </xf>
    <xf numFmtId="166" fontId="35" fillId="0" borderId="3" xfId="0" applyNumberFormat="1" applyFont="1" applyBorder="1" applyAlignment="1">
      <alignment horizontal="center" vertical="center" wrapText="1"/>
    </xf>
    <xf numFmtId="165" fontId="35" fillId="0" borderId="3" xfId="0" applyNumberFormat="1" applyFont="1" applyBorder="1" applyAlignment="1">
      <alignment horizontal="center" vertical="center" wrapText="1"/>
    </xf>
    <xf numFmtId="0" fontId="2" fillId="3" borderId="33" xfId="0" applyFont="1" applyFill="1" applyBorder="1" applyAlignment="1">
      <alignment horizontal="center" vertical="center" wrapText="1"/>
    </xf>
    <xf numFmtId="2" fontId="20" fillId="0" borderId="8" xfId="0" applyNumberFormat="1" applyFont="1" applyBorder="1" applyAlignment="1">
      <alignment horizontal="center" vertical="center" wrapText="1"/>
    </xf>
    <xf numFmtId="0" fontId="2" fillId="3" borderId="60" xfId="0" applyFont="1" applyFill="1" applyBorder="1" applyAlignment="1">
      <alignment horizontal="center" vertical="center" wrapText="1"/>
    </xf>
    <xf numFmtId="2" fontId="20" fillId="0" borderId="80" xfId="0" applyNumberFormat="1" applyFont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/>
    </xf>
    <xf numFmtId="165" fontId="18" fillId="0" borderId="4" xfId="0" applyNumberFormat="1" applyFont="1" applyBorder="1" applyAlignment="1">
      <alignment horizontal="center" vertical="center"/>
    </xf>
    <xf numFmtId="165" fontId="24" fillId="8" borderId="4" xfId="0" applyNumberFormat="1" applyFont="1" applyFill="1" applyBorder="1" applyAlignment="1">
      <alignment horizontal="center" vertical="center"/>
    </xf>
    <xf numFmtId="0" fontId="24" fillId="8" borderId="34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18" fillId="0" borderId="37" xfId="0" applyFont="1" applyBorder="1"/>
    <xf numFmtId="165" fontId="24" fillId="0" borderId="37" xfId="0" applyNumberFormat="1" applyFont="1" applyBorder="1" applyAlignment="1">
      <alignment horizontal="center" vertical="center"/>
    </xf>
    <xf numFmtId="165" fontId="24" fillId="0" borderId="38" xfId="0" applyNumberFormat="1" applyFont="1" applyBorder="1" applyAlignment="1">
      <alignment horizontal="center" vertical="center"/>
    </xf>
    <xf numFmtId="165" fontId="24" fillId="8" borderId="19" xfId="0" applyNumberFormat="1" applyFont="1" applyFill="1" applyBorder="1" applyAlignment="1">
      <alignment horizontal="center" vertical="center" wrapText="1"/>
    </xf>
    <xf numFmtId="165" fontId="24" fillId="8" borderId="18" xfId="0" applyNumberFormat="1" applyFont="1" applyFill="1" applyBorder="1" applyAlignment="1">
      <alignment horizontal="center" vertical="center"/>
    </xf>
    <xf numFmtId="0" fontId="29" fillId="8" borderId="37" xfId="0" applyFont="1" applyFill="1" applyBorder="1" applyAlignment="1">
      <alignment horizontal="center"/>
    </xf>
    <xf numFmtId="165" fontId="24" fillId="8" borderId="37" xfId="0" applyNumberFormat="1" applyFont="1" applyFill="1" applyBorder="1" applyAlignment="1">
      <alignment horizontal="center" vertical="center"/>
    </xf>
    <xf numFmtId="165" fontId="24" fillId="8" borderId="38" xfId="0" applyNumberFormat="1" applyFont="1" applyFill="1" applyBorder="1" applyAlignment="1">
      <alignment horizontal="center" vertical="center"/>
    </xf>
    <xf numFmtId="0" fontId="18" fillId="0" borderId="34" xfId="0" applyFont="1" applyBorder="1"/>
    <xf numFmtId="0" fontId="24" fillId="8" borderId="37" xfId="0" applyFont="1" applyFill="1" applyBorder="1"/>
    <xf numFmtId="164" fontId="24" fillId="0" borderId="34" xfId="0" applyNumberFormat="1" applyFont="1" applyBorder="1" applyAlignment="1">
      <alignment horizontal="center" vertical="center"/>
    </xf>
    <xf numFmtId="164" fontId="24" fillId="0" borderId="35" xfId="0" applyNumberFormat="1" applyFont="1" applyBorder="1" applyAlignment="1">
      <alignment horizontal="center" vertical="center"/>
    </xf>
    <xf numFmtId="164" fontId="24" fillId="0" borderId="4" xfId="0" applyNumberFormat="1" applyFont="1" applyBorder="1" applyAlignment="1">
      <alignment horizontal="center" vertical="center"/>
    </xf>
    <xf numFmtId="164" fontId="24" fillId="0" borderId="18" xfId="0" applyNumberFormat="1" applyFont="1" applyBorder="1" applyAlignment="1">
      <alignment horizontal="center" vertical="center"/>
    </xf>
    <xf numFmtId="165" fontId="24" fillId="0" borderId="3" xfId="0" applyNumberFormat="1" applyFont="1" applyBorder="1" applyAlignment="1">
      <alignment horizontal="center" vertical="center"/>
    </xf>
    <xf numFmtId="2" fontId="20" fillId="12" borderId="17" xfId="0" applyNumberFormat="1" applyFont="1" applyFill="1" applyBorder="1" applyAlignment="1">
      <alignment horizontal="center" vertical="center" wrapText="1"/>
    </xf>
    <xf numFmtId="2" fontId="20" fillId="12" borderId="18" xfId="0" applyNumberFormat="1" applyFont="1" applyFill="1" applyBorder="1" applyAlignment="1">
      <alignment horizontal="center" vertical="center" wrapText="1"/>
    </xf>
    <xf numFmtId="2" fontId="20" fillId="12" borderId="36" xfId="0" applyNumberFormat="1" applyFont="1" applyFill="1" applyBorder="1" applyAlignment="1">
      <alignment horizontal="center" vertical="center" wrapText="1"/>
    </xf>
    <xf numFmtId="2" fontId="20" fillId="12" borderId="38" xfId="0" applyNumberFormat="1" applyFont="1" applyFill="1" applyBorder="1" applyAlignment="1">
      <alignment horizontal="center" vertical="center" wrapText="1"/>
    </xf>
    <xf numFmtId="166" fontId="26" fillId="15" borderId="3" xfId="0" applyNumberFormat="1" applyFon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0" fontId="18" fillId="0" borderId="97" xfId="0" applyFont="1" applyBorder="1" applyAlignment="1">
      <alignment horizontal="center" vertical="center"/>
    </xf>
    <xf numFmtId="0" fontId="18" fillId="0" borderId="98" xfId="0" applyFont="1" applyBorder="1" applyAlignment="1">
      <alignment horizontal="center" vertical="center"/>
    </xf>
    <xf numFmtId="165" fontId="24" fillId="8" borderId="48" xfId="0" applyNumberFormat="1" applyFont="1" applyFill="1" applyBorder="1" applyAlignment="1">
      <alignment horizontal="center" vertical="center"/>
    </xf>
    <xf numFmtId="0" fontId="2" fillId="3" borderId="50" xfId="0" applyFont="1" applyFill="1" applyBorder="1" applyAlignment="1">
      <alignment horizontal="center" vertical="center" wrapText="1"/>
    </xf>
    <xf numFmtId="0" fontId="24" fillId="8" borderId="48" xfId="0" applyFont="1" applyFill="1" applyBorder="1" applyAlignment="1">
      <alignment horizontal="center"/>
    </xf>
    <xf numFmtId="0" fontId="18" fillId="0" borderId="37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166" fontId="2" fillId="15" borderId="99" xfId="0" applyNumberFormat="1" applyFont="1" applyFill="1" applyBorder="1" applyAlignment="1">
      <alignment horizontal="center" vertical="center" wrapText="1"/>
    </xf>
    <xf numFmtId="166" fontId="2" fillId="15" borderId="97" xfId="0" applyNumberFormat="1" applyFont="1" applyFill="1" applyBorder="1" applyAlignment="1">
      <alignment horizontal="center" vertical="center" wrapText="1"/>
    </xf>
    <xf numFmtId="166" fontId="26" fillId="15" borderId="97" xfId="0" applyNumberFormat="1" applyFont="1" applyFill="1" applyBorder="1" applyAlignment="1">
      <alignment horizontal="center" vertical="center"/>
    </xf>
    <xf numFmtId="166" fontId="26" fillId="15" borderId="98" xfId="0" applyNumberFormat="1" applyFont="1" applyFill="1" applyBorder="1" applyAlignment="1">
      <alignment horizontal="center" vertical="center"/>
    </xf>
    <xf numFmtId="165" fontId="24" fillId="8" borderId="51" xfId="0" applyNumberFormat="1" applyFont="1" applyFill="1" applyBorder="1" applyAlignment="1">
      <alignment horizontal="center" vertical="center"/>
    </xf>
    <xf numFmtId="166" fontId="26" fillId="15" borderId="33" xfId="0" applyNumberFormat="1" applyFont="1" applyFill="1" applyBorder="1" applyAlignment="1">
      <alignment horizontal="center" vertical="center"/>
    </xf>
    <xf numFmtId="166" fontId="37" fillId="15" borderId="35" xfId="0" applyNumberFormat="1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165" fontId="24" fillId="8" borderId="64" xfId="0" applyNumberFormat="1" applyFont="1" applyFill="1" applyBorder="1" applyAlignment="1">
      <alignment horizontal="center" vertical="center" wrapText="1"/>
    </xf>
    <xf numFmtId="0" fontId="18" fillId="8" borderId="18" xfId="0" applyFont="1" applyFill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166" fontId="26" fillId="15" borderId="34" xfId="0" applyNumberFormat="1" applyFont="1" applyFill="1" applyBorder="1" applyAlignment="1">
      <alignment horizontal="center" vertical="center"/>
    </xf>
    <xf numFmtId="166" fontId="45" fillId="15" borderId="34" xfId="0" applyNumberFormat="1" applyFont="1" applyFill="1" applyBorder="1" applyAlignment="1">
      <alignment horizontal="center" vertical="center"/>
    </xf>
    <xf numFmtId="166" fontId="45" fillId="15" borderId="35" xfId="0" applyNumberFormat="1" applyFont="1" applyFill="1" applyBorder="1" applyAlignment="1">
      <alignment horizontal="center" vertical="center"/>
    </xf>
    <xf numFmtId="2" fontId="2" fillId="8" borderId="3" xfId="0" applyNumberFormat="1" applyFont="1" applyFill="1" applyBorder="1" applyAlignment="1">
      <alignment horizontal="center" vertical="center" wrapText="1"/>
    </xf>
    <xf numFmtId="168" fontId="2" fillId="8" borderId="3" xfId="0" applyNumberFormat="1" applyFont="1" applyFill="1" applyBorder="1" applyAlignment="1">
      <alignment horizontal="center" vertical="center" wrapText="1"/>
    </xf>
    <xf numFmtId="166" fontId="26" fillId="15" borderId="99" xfId="0" applyNumberFormat="1" applyFont="1" applyFill="1" applyBorder="1" applyAlignment="1">
      <alignment horizontal="center" vertical="center"/>
    </xf>
    <xf numFmtId="166" fontId="26" fillId="15" borderId="35" xfId="0" applyNumberFormat="1" applyFont="1" applyFill="1" applyBorder="1" applyAlignment="1">
      <alignment horizontal="center" vertical="center"/>
    </xf>
    <xf numFmtId="166" fontId="18" fillId="0" borderId="18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166" fontId="0" fillId="0" borderId="37" xfId="0" applyNumberFormat="1" applyBorder="1" applyAlignment="1">
      <alignment horizontal="center" vertical="center"/>
    </xf>
    <xf numFmtId="166" fontId="45" fillId="15" borderId="34" xfId="0" applyNumberFormat="1" applyFont="1" applyFill="1" applyBorder="1" applyAlignment="1">
      <alignment horizontal="center" vertical="center" wrapText="1"/>
    </xf>
    <xf numFmtId="165" fontId="2" fillId="9" borderId="33" xfId="0" applyNumberFormat="1" applyFont="1" applyFill="1" applyBorder="1" applyAlignment="1">
      <alignment horizontal="center" vertical="center" wrapText="1"/>
    </xf>
    <xf numFmtId="165" fontId="26" fillId="21" borderId="17" xfId="0" applyNumberFormat="1" applyFont="1" applyFill="1" applyBorder="1" applyAlignment="1">
      <alignment horizontal="center"/>
    </xf>
    <xf numFmtId="165" fontId="26" fillId="22" borderId="36" xfId="0" applyNumberFormat="1" applyFont="1" applyFill="1" applyBorder="1" applyAlignment="1">
      <alignment horizontal="center"/>
    </xf>
    <xf numFmtId="165" fontId="18" fillId="0" borderId="18" xfId="0" applyNumberFormat="1" applyFont="1" applyBorder="1" applyAlignment="1">
      <alignment horizontal="center" vertical="center"/>
    </xf>
    <xf numFmtId="165" fontId="18" fillId="0" borderId="64" xfId="0" applyNumberFormat="1" applyFont="1" applyBorder="1" applyAlignment="1">
      <alignment horizontal="center" vertical="center" wrapText="1"/>
    </xf>
    <xf numFmtId="165" fontId="18" fillId="0" borderId="19" xfId="0" applyNumberFormat="1" applyFont="1" applyBorder="1" applyAlignment="1">
      <alignment horizontal="center" vertical="center" wrapText="1"/>
    </xf>
    <xf numFmtId="166" fontId="26" fillId="15" borderId="33" xfId="0" applyNumberFormat="1" applyFont="1" applyFill="1" applyBorder="1" applyAlignment="1">
      <alignment horizontal="center" vertical="center" wrapText="1"/>
    </xf>
    <xf numFmtId="166" fontId="45" fillId="15" borderId="35" xfId="0" applyNumberFormat="1" applyFont="1" applyFill="1" applyBorder="1" applyAlignment="1">
      <alignment horizontal="center" vertical="center" wrapText="1"/>
    </xf>
    <xf numFmtId="0" fontId="44" fillId="0" borderId="38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2" fillId="3" borderId="33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50" xfId="0" applyFont="1" applyFill="1" applyBorder="1" applyAlignment="1">
      <alignment horizontal="left" vertical="center" wrapText="1"/>
    </xf>
    <xf numFmtId="0" fontId="39" fillId="0" borderId="3" xfId="10" applyFont="1"/>
    <xf numFmtId="0" fontId="40" fillId="0" borderId="3" xfId="10" applyFont="1" applyAlignment="1">
      <alignment horizontal="center"/>
    </xf>
    <xf numFmtId="0" fontId="40" fillId="0" borderId="3" xfId="10" applyFont="1"/>
    <xf numFmtId="0" fontId="41" fillId="0" borderId="3" xfId="10" applyFont="1"/>
    <xf numFmtId="0" fontId="40" fillId="0" borderId="3" xfId="10" applyFont="1" applyAlignment="1">
      <alignment horizontal="right"/>
    </xf>
    <xf numFmtId="2" fontId="40" fillId="0" borderId="3" xfId="10" applyNumberFormat="1" applyFont="1" applyAlignment="1">
      <alignment horizontal="right"/>
    </xf>
    <xf numFmtId="0" fontId="40" fillId="0" borderId="90" xfId="10" applyFont="1" applyBorder="1"/>
    <xf numFmtId="0" fontId="40" fillId="0" borderId="90" xfId="10" applyFont="1" applyBorder="1" applyAlignment="1">
      <alignment horizontal="right"/>
    </xf>
    <xf numFmtId="0" fontId="39" fillId="0" borderId="3" xfId="10" applyFont="1" applyAlignment="1">
      <alignment horizontal="right"/>
    </xf>
    <xf numFmtId="0" fontId="42" fillId="0" borderId="3" xfId="10" quotePrefix="1" applyFont="1"/>
    <xf numFmtId="2" fontId="40" fillId="0" borderId="3" xfId="10" applyNumberFormat="1" applyFont="1"/>
    <xf numFmtId="166" fontId="45" fillId="15" borderId="98" xfId="0" applyNumberFormat="1" applyFont="1" applyFill="1" applyBorder="1" applyAlignment="1">
      <alignment horizontal="center" vertical="center" wrapText="1"/>
    </xf>
    <xf numFmtId="165" fontId="2" fillId="9" borderId="34" xfId="0" applyNumberFormat="1" applyFont="1" applyFill="1" applyBorder="1" applyAlignment="1">
      <alignment horizontal="center" vertical="center" wrapText="1"/>
    </xf>
    <xf numFmtId="165" fontId="2" fillId="9" borderId="35" xfId="0" applyNumberFormat="1" applyFont="1" applyFill="1" applyBorder="1" applyAlignment="1">
      <alignment horizontal="center" vertical="center" wrapText="1"/>
    </xf>
    <xf numFmtId="1" fontId="35" fillId="0" borderId="4" xfId="0" applyNumberFormat="1" applyFont="1" applyBorder="1" applyAlignment="1">
      <alignment horizontal="center" vertical="center" wrapText="1"/>
    </xf>
    <xf numFmtId="165" fontId="35" fillId="7" borderId="4" xfId="0" applyNumberFormat="1" applyFont="1" applyFill="1" applyBorder="1" applyAlignment="1">
      <alignment horizontal="center" vertical="center" wrapText="1"/>
    </xf>
    <xf numFmtId="166" fontId="2" fillId="0" borderId="66" xfId="0" applyNumberFormat="1" applyFont="1" applyBorder="1" applyAlignment="1">
      <alignment horizontal="center" vertical="center" wrapText="1"/>
    </xf>
    <xf numFmtId="2" fontId="2" fillId="18" borderId="57" xfId="0" applyNumberFormat="1" applyFont="1" applyFill="1" applyBorder="1" applyAlignment="1">
      <alignment horizontal="center" vertical="center" wrapText="1"/>
    </xf>
    <xf numFmtId="166" fontId="2" fillId="0" borderId="65" xfId="0" applyNumberFormat="1" applyFont="1" applyBorder="1" applyAlignment="1">
      <alignment horizontal="center" vertical="center" wrapText="1"/>
    </xf>
    <xf numFmtId="2" fontId="20" fillId="3" borderId="59" xfId="0" applyNumberFormat="1" applyFont="1" applyFill="1" applyBorder="1" applyAlignment="1">
      <alignment horizontal="center" vertical="center" wrapText="1"/>
    </xf>
    <xf numFmtId="166" fontId="2" fillId="0" borderId="54" xfId="0" applyNumberFormat="1" applyFont="1" applyBorder="1" applyAlignment="1">
      <alignment horizontal="center" vertical="center" wrapText="1"/>
    </xf>
    <xf numFmtId="166" fontId="9" fillId="0" borderId="0" xfId="0" applyNumberFormat="1" applyFont="1"/>
    <xf numFmtId="166" fontId="46" fillId="0" borderId="0" xfId="0" applyNumberFormat="1" applyFont="1"/>
    <xf numFmtId="0" fontId="46" fillId="0" borderId="0" xfId="0" applyFont="1"/>
    <xf numFmtId="0" fontId="46" fillId="3" borderId="0" xfId="0" applyFont="1" applyFill="1"/>
    <xf numFmtId="172" fontId="46" fillId="0" borderId="0" xfId="0" applyNumberFormat="1" applyFont="1"/>
    <xf numFmtId="0" fontId="47" fillId="19" borderId="69" xfId="0" applyFont="1" applyFill="1" applyBorder="1" applyAlignment="1">
      <alignment vertical="center" wrapText="1"/>
    </xf>
    <xf numFmtId="20" fontId="46" fillId="0" borderId="0" xfId="0" applyNumberFormat="1" applyFont="1"/>
    <xf numFmtId="0" fontId="46" fillId="0" borderId="0" xfId="0" applyFont="1" applyAlignment="1">
      <alignment horizontal="right"/>
    </xf>
    <xf numFmtId="0" fontId="46" fillId="0" borderId="0" xfId="0" applyFont="1" applyAlignment="1">
      <alignment horizontal="center"/>
    </xf>
    <xf numFmtId="0" fontId="46" fillId="0" borderId="0" xfId="0" applyFont="1" applyAlignment="1">
      <alignment horizontal="left"/>
    </xf>
    <xf numFmtId="0" fontId="48" fillId="0" borderId="0" xfId="0" applyFont="1" applyAlignment="1">
      <alignment horizontal="left"/>
    </xf>
    <xf numFmtId="0" fontId="48" fillId="0" borderId="0" xfId="0" applyFont="1" applyAlignment="1">
      <alignment horizontal="right"/>
    </xf>
    <xf numFmtId="0" fontId="49" fillId="8" borderId="0" xfId="0" applyFont="1" applyFill="1"/>
    <xf numFmtId="0" fontId="49" fillId="8" borderId="0" xfId="0" applyFont="1" applyFill="1" applyAlignment="1">
      <alignment horizontal="left"/>
    </xf>
    <xf numFmtId="0" fontId="49" fillId="0" borderId="0" xfId="0" applyFont="1" applyAlignment="1">
      <alignment horizontal="center" vertical="center"/>
    </xf>
    <xf numFmtId="0" fontId="49" fillId="8" borderId="0" xfId="0" applyFont="1" applyFill="1" applyAlignment="1">
      <alignment horizontal="center" vertical="center"/>
    </xf>
    <xf numFmtId="0" fontId="50" fillId="8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51" fillId="0" borderId="0" xfId="0" applyFont="1" applyAlignment="1">
      <alignment horizontal="center"/>
    </xf>
    <xf numFmtId="0" fontId="48" fillId="8" borderId="0" xfId="0" applyFont="1" applyFill="1" applyAlignment="1">
      <alignment horizontal="center"/>
    </xf>
    <xf numFmtId="0" fontId="52" fillId="0" borderId="0" xfId="0" applyFont="1" applyAlignment="1">
      <alignment vertical="center"/>
    </xf>
    <xf numFmtId="0" fontId="51" fillId="0" borderId="0" xfId="0" applyFont="1" applyAlignment="1">
      <alignment horizontal="left"/>
    </xf>
    <xf numFmtId="0" fontId="52" fillId="0" borderId="0" xfId="0" applyFont="1"/>
    <xf numFmtId="0" fontId="48" fillId="8" borderId="0" xfId="0" applyFont="1" applyFill="1" applyAlignment="1">
      <alignment horizontal="right"/>
    </xf>
    <xf numFmtId="0" fontId="48" fillId="8" borderId="0" xfId="0" applyFont="1" applyFill="1" applyAlignment="1">
      <alignment horizontal="left"/>
    </xf>
    <xf numFmtId="0" fontId="48" fillId="0" borderId="0" xfId="0" applyFont="1"/>
    <xf numFmtId="0" fontId="52" fillId="0" borderId="0" xfId="0" applyFont="1" applyAlignment="1">
      <alignment horizontal="left" vertical="center" indent="1"/>
    </xf>
    <xf numFmtId="0" fontId="34" fillId="5" borderId="0" xfId="0" applyFont="1" applyFill="1"/>
    <xf numFmtId="165" fontId="20" fillId="9" borderId="64" xfId="0" applyNumberFormat="1" applyFont="1" applyFill="1" applyBorder="1" applyAlignment="1">
      <alignment horizontal="center" vertical="center" wrapText="1"/>
    </xf>
    <xf numFmtId="165" fontId="20" fillId="9" borderId="84" xfId="0" applyNumberFormat="1" applyFont="1" applyFill="1" applyBorder="1" applyAlignment="1">
      <alignment horizontal="center" vertical="center" wrapText="1"/>
    </xf>
    <xf numFmtId="0" fontId="2" fillId="3" borderId="101" xfId="0" applyFont="1" applyFill="1" applyBorder="1" applyAlignment="1">
      <alignment horizontal="center" vertical="center" wrapText="1"/>
    </xf>
    <xf numFmtId="0" fontId="2" fillId="3" borderId="102" xfId="0" applyFont="1" applyFill="1" applyBorder="1" applyAlignment="1">
      <alignment horizontal="center" vertical="center" wrapText="1"/>
    </xf>
    <xf numFmtId="0" fontId="2" fillId="3" borderId="103" xfId="0" applyFont="1" applyFill="1" applyBorder="1" applyAlignment="1">
      <alignment horizontal="center" vertical="center" wrapText="1"/>
    </xf>
    <xf numFmtId="165" fontId="20" fillId="8" borderId="4" xfId="0" applyNumberFormat="1" applyFont="1" applyFill="1" applyBorder="1" applyAlignment="1">
      <alignment horizontal="center" vertical="center" wrapText="1"/>
    </xf>
    <xf numFmtId="165" fontId="20" fillId="0" borderId="4" xfId="0" applyNumberFormat="1" applyFont="1" applyBorder="1" applyAlignment="1">
      <alignment horizontal="center" vertical="center" wrapText="1"/>
    </xf>
    <xf numFmtId="165" fontId="20" fillId="8" borderId="18" xfId="0" applyNumberFormat="1" applyFont="1" applyFill="1" applyBorder="1" applyAlignment="1">
      <alignment horizontal="center" vertical="center" wrapText="1"/>
    </xf>
    <xf numFmtId="165" fontId="20" fillId="8" borderId="36" xfId="0" applyNumberFormat="1" applyFont="1" applyFill="1" applyBorder="1" applyAlignment="1">
      <alignment horizontal="center" vertical="center" wrapText="1"/>
    </xf>
    <xf numFmtId="165" fontId="20" fillId="8" borderId="37" xfId="0" applyNumberFormat="1" applyFont="1" applyFill="1" applyBorder="1" applyAlignment="1">
      <alignment horizontal="center" vertical="center" wrapText="1"/>
    </xf>
    <xf numFmtId="165" fontId="20" fillId="8" borderId="38" xfId="0" applyNumberFormat="1" applyFont="1" applyFill="1" applyBorder="1" applyAlignment="1">
      <alignment horizontal="center" vertical="center" wrapText="1"/>
    </xf>
    <xf numFmtId="165" fontId="20" fillId="8" borderId="34" xfId="0" applyNumberFormat="1" applyFont="1" applyFill="1" applyBorder="1" applyAlignment="1">
      <alignment horizontal="center" vertical="center" wrapText="1"/>
    </xf>
    <xf numFmtId="165" fontId="20" fillId="8" borderId="35" xfId="0" applyNumberFormat="1" applyFont="1" applyFill="1" applyBorder="1" applyAlignment="1">
      <alignment horizontal="center" vertical="center" wrapText="1"/>
    </xf>
    <xf numFmtId="165" fontId="20" fillId="16" borderId="19" xfId="0" applyNumberFormat="1" applyFont="1" applyFill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/>
    </xf>
    <xf numFmtId="0" fontId="18" fillId="0" borderId="42" xfId="0" applyFont="1" applyBorder="1" applyAlignment="1">
      <alignment horizontal="center" vertical="center"/>
    </xf>
    <xf numFmtId="166" fontId="18" fillId="0" borderId="33" xfId="0" applyNumberFormat="1" applyFont="1" applyBorder="1" applyAlignment="1">
      <alignment horizontal="center" vertical="center"/>
    </xf>
    <xf numFmtId="166" fontId="18" fillId="0" borderId="35" xfId="0" applyNumberFormat="1" applyFon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66" fontId="0" fillId="0" borderId="36" xfId="0" applyNumberFormat="1" applyBorder="1" applyAlignment="1">
      <alignment horizontal="center" vertical="center"/>
    </xf>
    <xf numFmtId="0" fontId="2" fillId="9" borderId="52" xfId="0" applyFont="1" applyFill="1" applyBorder="1" applyAlignment="1">
      <alignment horizontal="center" vertical="center" wrapText="1"/>
    </xf>
    <xf numFmtId="0" fontId="2" fillId="9" borderId="53" xfId="0" applyFont="1" applyFill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/>
    </xf>
    <xf numFmtId="0" fontId="0" fillId="0" borderId="0" xfId="0" applyAlignment="1">
      <alignment horizontal="left" vertical="center" indent="4"/>
    </xf>
    <xf numFmtId="0" fontId="7" fillId="0" borderId="3" xfId="12" applyAlignment="1">
      <alignment vertical="center"/>
    </xf>
    <xf numFmtId="1" fontId="55" fillId="0" borderId="3" xfId="12" applyNumberFormat="1" applyFont="1" applyAlignment="1">
      <alignment horizontal="center" vertical="center" wrapText="1"/>
    </xf>
    <xf numFmtId="1" fontId="56" fillId="0" borderId="3" xfId="12" applyNumberFormat="1" applyFont="1" applyAlignment="1">
      <alignment horizontal="center" vertical="center" wrapText="1"/>
    </xf>
    <xf numFmtId="3" fontId="22" fillId="0" borderId="3" xfId="12" applyNumberFormat="1" applyFont="1" applyAlignment="1">
      <alignment horizontal="center" vertical="center"/>
    </xf>
    <xf numFmtId="1" fontId="22" fillId="0" borderId="3" xfId="12" applyNumberFormat="1" applyFont="1" applyAlignment="1">
      <alignment horizontal="center" vertical="center"/>
    </xf>
    <xf numFmtId="165" fontId="7" fillId="0" borderId="3" xfId="12" applyNumberFormat="1" applyAlignment="1">
      <alignment vertical="center"/>
    </xf>
    <xf numFmtId="0" fontId="7" fillId="15" borderId="89" xfId="12" applyFill="1" applyBorder="1" applyAlignment="1">
      <alignment vertical="center" wrapText="1"/>
    </xf>
    <xf numFmtId="0" fontId="7" fillId="15" borderId="71" xfId="12" applyFill="1" applyBorder="1" applyAlignment="1">
      <alignment vertical="center" wrapText="1"/>
    </xf>
    <xf numFmtId="0" fontId="7" fillId="15" borderId="71" xfId="12" applyFill="1" applyBorder="1" applyAlignment="1">
      <alignment vertical="center"/>
    </xf>
    <xf numFmtId="0" fontId="7" fillId="15" borderId="73" xfId="12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2" fontId="18" fillId="0" borderId="0" xfId="0" applyNumberFormat="1" applyFont="1" applyAlignment="1">
      <alignment vertical="center"/>
    </xf>
    <xf numFmtId="0" fontId="18" fillId="0" borderId="0" xfId="0" applyFont="1" applyAlignment="1">
      <alignment vertical="center"/>
    </xf>
    <xf numFmtId="164" fontId="18" fillId="0" borderId="1" xfId="0" applyNumberFormat="1" applyFont="1" applyBorder="1" applyAlignment="1">
      <alignment horizontal="center" vertical="center"/>
    </xf>
    <xf numFmtId="164" fontId="18" fillId="0" borderId="25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2" fontId="26" fillId="0" borderId="3" xfId="0" applyNumberFormat="1" applyFont="1" applyBorder="1" applyAlignment="1">
      <alignment vertical="center"/>
    </xf>
    <xf numFmtId="166" fontId="26" fillId="0" borderId="0" xfId="0" applyNumberFormat="1" applyFont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166" fontId="26" fillId="21" borderId="17" xfId="0" applyNumberFormat="1" applyFont="1" applyFill="1" applyBorder="1" applyAlignment="1">
      <alignment horizontal="center" vertical="center"/>
    </xf>
    <xf numFmtId="166" fontId="26" fillId="21" borderId="4" xfId="0" applyNumberFormat="1" applyFont="1" applyFill="1" applyBorder="1" applyAlignment="1">
      <alignment horizontal="center" vertical="center"/>
    </xf>
    <xf numFmtId="166" fontId="26" fillId="21" borderId="18" xfId="0" applyNumberFormat="1" applyFont="1" applyFill="1" applyBorder="1" applyAlignment="1">
      <alignment horizontal="center" vertical="center"/>
    </xf>
    <xf numFmtId="166" fontId="26" fillId="21" borderId="19" xfId="0" applyNumberFormat="1" applyFont="1" applyFill="1" applyBorder="1" applyAlignment="1">
      <alignment horizontal="center" vertical="center"/>
    </xf>
    <xf numFmtId="166" fontId="26" fillId="22" borderId="36" xfId="0" applyNumberFormat="1" applyFont="1" applyFill="1" applyBorder="1" applyAlignment="1">
      <alignment horizontal="center" vertical="center"/>
    </xf>
    <xf numFmtId="166" fontId="26" fillId="22" borderId="37" xfId="0" applyNumberFormat="1" applyFont="1" applyFill="1" applyBorder="1" applyAlignment="1">
      <alignment horizontal="center" vertical="center"/>
    </xf>
    <xf numFmtId="166" fontId="26" fillId="22" borderId="38" xfId="0" applyNumberFormat="1" applyFont="1" applyFill="1" applyBorder="1" applyAlignment="1">
      <alignment horizontal="center" vertical="center"/>
    </xf>
    <xf numFmtId="166" fontId="26" fillId="22" borderId="83" xfId="0" applyNumberFormat="1" applyFont="1" applyFill="1" applyBorder="1" applyAlignment="1">
      <alignment horizontal="center" vertical="center"/>
    </xf>
    <xf numFmtId="2" fontId="35" fillId="0" borderId="4" xfId="0" applyNumberFormat="1" applyFont="1" applyBorder="1" applyAlignment="1">
      <alignment horizontal="center" vertical="center" wrapText="1"/>
    </xf>
    <xf numFmtId="2" fontId="20" fillId="12" borderId="13" xfId="0" applyNumberFormat="1" applyFont="1" applyFill="1" applyBorder="1" applyAlignment="1">
      <alignment horizontal="center" vertical="center" wrapText="1"/>
    </xf>
    <xf numFmtId="2" fontId="20" fillId="12" borderId="40" xfId="0" applyNumberFormat="1" applyFont="1" applyFill="1" applyBorder="1" applyAlignment="1">
      <alignment horizontal="center" vertical="center" wrapText="1"/>
    </xf>
    <xf numFmtId="0" fontId="11" fillId="4" borderId="0" xfId="0" applyFont="1" applyFill="1" applyAlignment="1">
      <alignment vertical="center"/>
    </xf>
    <xf numFmtId="0" fontId="59" fillId="0" borderId="97" xfId="0" applyFont="1" applyBorder="1" applyAlignment="1">
      <alignment horizontal="center" vertical="center"/>
    </xf>
    <xf numFmtId="0" fontId="59" fillId="0" borderId="98" xfId="0" applyFont="1" applyBorder="1" applyAlignment="1">
      <alignment horizontal="center" vertical="center"/>
    </xf>
    <xf numFmtId="165" fontId="59" fillId="0" borderId="4" xfId="0" applyNumberFormat="1" applyFont="1" applyBorder="1" applyAlignment="1">
      <alignment horizontal="center" vertical="center"/>
    </xf>
    <xf numFmtId="165" fontId="59" fillId="0" borderId="18" xfId="0" applyNumberFormat="1" applyFont="1" applyBorder="1" applyAlignment="1">
      <alignment horizontal="center" vertical="center"/>
    </xf>
    <xf numFmtId="0" fontId="59" fillId="0" borderId="37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165" fontId="60" fillId="8" borderId="48" xfId="0" applyNumberFormat="1" applyFont="1" applyFill="1" applyBorder="1" applyAlignment="1">
      <alignment horizontal="center" vertical="center"/>
    </xf>
    <xf numFmtId="165" fontId="60" fillId="8" borderId="51" xfId="0" applyNumberFormat="1" applyFont="1" applyFill="1" applyBorder="1" applyAlignment="1">
      <alignment horizontal="center" vertical="center"/>
    </xf>
    <xf numFmtId="165" fontId="60" fillId="8" borderId="4" xfId="0" applyNumberFormat="1" applyFont="1" applyFill="1" applyBorder="1" applyAlignment="1">
      <alignment horizontal="center" vertical="center"/>
    </xf>
    <xf numFmtId="165" fontId="60" fillId="8" borderId="18" xfId="0" applyNumberFormat="1" applyFont="1" applyFill="1" applyBorder="1" applyAlignment="1">
      <alignment horizontal="center" vertical="center"/>
    </xf>
    <xf numFmtId="165" fontId="60" fillId="8" borderId="37" xfId="0" applyNumberFormat="1" applyFont="1" applyFill="1" applyBorder="1" applyAlignment="1">
      <alignment horizontal="center" vertical="center"/>
    </xf>
    <xf numFmtId="165" fontId="60" fillId="8" borderId="38" xfId="0" applyNumberFormat="1" applyFont="1" applyFill="1" applyBorder="1" applyAlignment="1">
      <alignment horizontal="center" vertical="center"/>
    </xf>
    <xf numFmtId="164" fontId="60" fillId="0" borderId="34" xfId="0" applyNumberFormat="1" applyFont="1" applyBorder="1" applyAlignment="1">
      <alignment horizontal="center" vertical="center"/>
    </xf>
    <xf numFmtId="164" fontId="60" fillId="0" borderId="35" xfId="0" applyNumberFormat="1" applyFont="1" applyBorder="1" applyAlignment="1">
      <alignment horizontal="center" vertical="center"/>
    </xf>
    <xf numFmtId="164" fontId="60" fillId="0" borderId="4" xfId="0" applyNumberFormat="1" applyFont="1" applyBorder="1" applyAlignment="1">
      <alignment horizontal="center" vertical="center"/>
    </xf>
    <xf numFmtId="164" fontId="60" fillId="0" borderId="18" xfId="0" applyNumberFormat="1" applyFont="1" applyBorder="1" applyAlignment="1">
      <alignment horizontal="center" vertical="center"/>
    </xf>
    <xf numFmtId="165" fontId="60" fillId="0" borderId="37" xfId="0" applyNumberFormat="1" applyFont="1" applyBorder="1" applyAlignment="1">
      <alignment horizontal="center" vertical="center"/>
    </xf>
    <xf numFmtId="165" fontId="60" fillId="0" borderId="38" xfId="0" applyNumberFormat="1" applyFont="1" applyBorder="1" applyAlignment="1">
      <alignment horizontal="center" vertical="center"/>
    </xf>
    <xf numFmtId="0" fontId="59" fillId="0" borderId="0" xfId="0" applyFont="1"/>
    <xf numFmtId="1" fontId="3" fillId="0" borderId="6" xfId="0" applyNumberFormat="1" applyFont="1" applyBorder="1" applyAlignment="1">
      <alignment horizontal="center" vertical="center" wrapText="1"/>
    </xf>
    <xf numFmtId="0" fontId="59" fillId="0" borderId="4" xfId="0" applyFont="1" applyBorder="1" applyAlignment="1">
      <alignment horizontal="center"/>
    </xf>
    <xf numFmtId="3" fontId="22" fillId="15" borderId="93" xfId="12" applyNumberFormat="1" applyFont="1" applyFill="1" applyBorder="1" applyAlignment="1">
      <alignment horizontal="center" vertical="center"/>
    </xf>
    <xf numFmtId="1" fontId="7" fillId="15" borderId="41" xfId="12" applyNumberFormat="1" applyFill="1" applyBorder="1" applyAlignment="1">
      <alignment horizontal="center" vertical="center"/>
    </xf>
    <xf numFmtId="0" fontId="7" fillId="15" borderId="41" xfId="12" applyFill="1" applyBorder="1" applyAlignment="1">
      <alignment horizontal="center" vertical="center"/>
    </xf>
    <xf numFmtId="165" fontId="7" fillId="15" borderId="41" xfId="12" applyNumberFormat="1" applyFill="1" applyBorder="1" applyAlignment="1">
      <alignment horizontal="center" vertical="center"/>
    </xf>
    <xf numFmtId="166" fontId="7" fillId="15" borderId="41" xfId="12" applyNumberFormat="1" applyFill="1" applyBorder="1" applyAlignment="1">
      <alignment horizontal="center" vertical="center"/>
    </xf>
    <xf numFmtId="3" fontId="55" fillId="0" borderId="4" xfId="12" applyNumberFormat="1" applyFont="1" applyBorder="1" applyAlignment="1">
      <alignment horizontal="center" vertical="center"/>
    </xf>
    <xf numFmtId="3" fontId="22" fillId="0" borderId="4" xfId="12" applyNumberFormat="1" applyFont="1" applyBorder="1" applyAlignment="1">
      <alignment horizontal="center" vertical="center"/>
    </xf>
    <xf numFmtId="1" fontId="56" fillId="0" borderId="4" xfId="12" applyNumberFormat="1" applyFont="1" applyBorder="1" applyAlignment="1">
      <alignment horizontal="center" vertical="center"/>
    </xf>
    <xf numFmtId="1" fontId="7" fillId="0" borderId="4" xfId="12" applyNumberFormat="1" applyBorder="1" applyAlignment="1">
      <alignment horizontal="center" vertical="center"/>
    </xf>
    <xf numFmtId="0" fontId="7" fillId="0" borderId="4" xfId="12" applyBorder="1" applyAlignment="1">
      <alignment horizontal="center" vertical="center"/>
    </xf>
    <xf numFmtId="1" fontId="57" fillId="0" borderId="4" xfId="12" applyNumberFormat="1" applyFont="1" applyBorder="1" applyAlignment="1">
      <alignment horizontal="center" vertical="center"/>
    </xf>
    <xf numFmtId="0" fontId="57" fillId="0" borderId="4" xfId="12" applyFont="1" applyBorder="1" applyAlignment="1">
      <alignment horizontal="center" vertical="center"/>
    </xf>
    <xf numFmtId="0" fontId="58" fillId="0" borderId="4" xfId="12" applyFont="1" applyBorder="1" applyAlignment="1">
      <alignment horizontal="center" vertical="center"/>
    </xf>
    <xf numFmtId="165" fontId="7" fillId="0" borderId="4" xfId="12" applyNumberFormat="1" applyBorder="1" applyAlignment="1">
      <alignment horizontal="center" vertical="center"/>
    </xf>
    <xf numFmtId="165" fontId="57" fillId="0" borderId="4" xfId="12" applyNumberFormat="1" applyFont="1" applyBorder="1" applyAlignment="1">
      <alignment horizontal="center" vertical="center"/>
    </xf>
    <xf numFmtId="165" fontId="58" fillId="0" borderId="4" xfId="12" applyNumberFormat="1" applyFont="1" applyBorder="1" applyAlignment="1">
      <alignment horizontal="center" vertical="center"/>
    </xf>
    <xf numFmtId="166" fontId="7" fillId="0" borderId="4" xfId="12" applyNumberFormat="1" applyBorder="1" applyAlignment="1">
      <alignment horizontal="center" vertical="center"/>
    </xf>
    <xf numFmtId="166" fontId="57" fillId="0" borderId="4" xfId="12" applyNumberFormat="1" applyFont="1" applyBorder="1" applyAlignment="1">
      <alignment horizontal="center" vertical="center"/>
    </xf>
    <xf numFmtId="166" fontId="58" fillId="0" borderId="4" xfId="12" applyNumberFormat="1" applyFont="1" applyBorder="1" applyAlignment="1">
      <alignment horizontal="center" vertical="center"/>
    </xf>
    <xf numFmtId="165" fontId="7" fillId="15" borderId="42" xfId="12" applyNumberFormat="1" applyFill="1" applyBorder="1" applyAlignment="1">
      <alignment horizontal="center" vertical="center"/>
    </xf>
    <xf numFmtId="0" fontId="7" fillId="0" borderId="3" xfId="1"/>
    <xf numFmtId="0" fontId="7" fillId="0" borderId="3" xfId="7"/>
    <xf numFmtId="0" fontId="15" fillId="0" borderId="3" xfId="7" applyFont="1" applyAlignment="1">
      <alignment horizontal="left" vertical="center"/>
    </xf>
    <xf numFmtId="164" fontId="15" fillId="0" borderId="3" xfId="7" applyNumberFormat="1" applyFont="1" applyAlignment="1">
      <alignment horizontal="right" vertical="center"/>
    </xf>
    <xf numFmtId="165" fontId="15" fillId="0" borderId="3" xfId="7" applyNumberFormat="1" applyFont="1" applyAlignment="1">
      <alignment horizontal="right" vertical="center"/>
    </xf>
    <xf numFmtId="166" fontId="15" fillId="0" borderId="3" xfId="7" applyNumberFormat="1" applyFont="1" applyAlignment="1">
      <alignment horizontal="right" vertical="center"/>
    </xf>
    <xf numFmtId="2" fontId="15" fillId="0" borderId="3" xfId="7" applyNumberFormat="1" applyFont="1" applyAlignment="1">
      <alignment horizontal="right" vertical="center"/>
    </xf>
    <xf numFmtId="171" fontId="15" fillId="0" borderId="3" xfId="7" applyNumberFormat="1" applyFont="1" applyAlignment="1">
      <alignment horizontal="right" vertical="center"/>
    </xf>
    <xf numFmtId="0" fontId="7" fillId="15" borderId="3" xfId="1" applyFill="1"/>
    <xf numFmtId="0" fontId="7" fillId="25" borderId="3" xfId="1" applyFill="1"/>
    <xf numFmtId="0" fontId="61" fillId="0" borderId="3" xfId="7" applyFont="1" applyAlignment="1">
      <alignment vertical="center"/>
    </xf>
    <xf numFmtId="0" fontId="7" fillId="25" borderId="3" xfId="7" applyFill="1"/>
    <xf numFmtId="166" fontId="2" fillId="15" borderId="4" xfId="0" applyNumberFormat="1" applyFont="1" applyFill="1" applyBorder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166" fontId="21" fillId="15" borderId="4" xfId="0" applyNumberFormat="1" applyFont="1" applyFill="1" applyBorder="1" applyAlignment="1">
      <alignment horizontal="center" vertical="center" wrapText="1"/>
    </xf>
    <xf numFmtId="0" fontId="15" fillId="0" borderId="4" xfId="7" applyFont="1" applyBorder="1" applyAlignment="1">
      <alignment horizontal="left" vertical="center"/>
    </xf>
    <xf numFmtId="0" fontId="7" fillId="0" borderId="4" xfId="7" applyBorder="1" applyAlignment="1">
      <alignment horizontal="center"/>
    </xf>
    <xf numFmtId="0" fontId="15" fillId="0" borderId="4" xfId="7" applyFont="1" applyBorder="1" applyAlignment="1">
      <alignment horizontal="center" vertical="center"/>
    </xf>
    <xf numFmtId="2" fontId="15" fillId="0" borderId="4" xfId="7" applyNumberFormat="1" applyFont="1" applyBorder="1" applyAlignment="1">
      <alignment horizontal="center" vertical="center"/>
    </xf>
    <xf numFmtId="166" fontId="21" fillId="15" borderId="13" xfId="0" applyNumberFormat="1" applyFont="1" applyFill="1" applyBorder="1" applyAlignment="1">
      <alignment horizontal="center" vertical="center" wrapText="1"/>
    </xf>
    <xf numFmtId="166" fontId="21" fillId="15" borderId="19" xfId="0" applyNumberFormat="1" applyFont="1" applyFill="1" applyBorder="1" applyAlignment="1">
      <alignment horizontal="center" vertical="center" wrapText="1"/>
    </xf>
    <xf numFmtId="166" fontId="15" fillId="0" borderId="4" xfId="7" applyNumberFormat="1" applyFont="1" applyBorder="1" applyAlignment="1">
      <alignment horizontal="right" vertical="center"/>
    </xf>
    <xf numFmtId="164" fontId="15" fillId="0" borderId="4" xfId="7" applyNumberFormat="1" applyFont="1" applyBorder="1" applyAlignment="1">
      <alignment horizontal="right" vertical="center"/>
    </xf>
    <xf numFmtId="165" fontId="15" fillId="0" borderId="4" xfId="7" applyNumberFormat="1" applyFont="1" applyBorder="1" applyAlignment="1">
      <alignment horizontal="right" vertical="center"/>
    </xf>
    <xf numFmtId="166" fontId="15" fillId="0" borderId="4" xfId="7" applyNumberFormat="1" applyFont="1" applyBorder="1" applyAlignment="1">
      <alignment horizontal="center" vertical="center"/>
    </xf>
    <xf numFmtId="171" fontId="15" fillId="0" borderId="4" xfId="7" applyNumberFormat="1" applyFont="1" applyBorder="1" applyAlignment="1">
      <alignment horizontal="center" vertical="center"/>
    </xf>
    <xf numFmtId="164" fontId="15" fillId="0" borderId="4" xfId="7" applyNumberFormat="1" applyFont="1" applyBorder="1" applyAlignment="1">
      <alignment horizontal="center" vertical="center"/>
    </xf>
    <xf numFmtId="165" fontId="15" fillId="0" borderId="4" xfId="7" applyNumberFormat="1" applyFont="1" applyBorder="1" applyAlignment="1">
      <alignment horizontal="center" vertical="center"/>
    </xf>
    <xf numFmtId="0" fontId="7" fillId="0" borderId="4" xfId="7" applyBorder="1" applyAlignment="1">
      <alignment horizontal="center" vertical="center"/>
    </xf>
    <xf numFmtId="168" fontId="15" fillId="0" borderId="4" xfId="7" applyNumberFormat="1" applyFont="1" applyBorder="1" applyAlignment="1">
      <alignment horizontal="right" vertical="center"/>
    </xf>
    <xf numFmtId="0" fontId="54" fillId="0" borderId="0" xfId="11" applyAlignment="1">
      <alignment horizontal="center" vertical="center" wrapText="1"/>
    </xf>
    <xf numFmtId="165" fontId="40" fillId="0" borderId="3" xfId="10" applyNumberFormat="1" applyFont="1"/>
    <xf numFmtId="166" fontId="40" fillId="0" borderId="3" xfId="10" applyNumberFormat="1" applyFont="1"/>
    <xf numFmtId="2" fontId="20" fillId="0" borderId="16" xfId="0" applyNumberFormat="1" applyFont="1" applyBorder="1" applyAlignment="1">
      <alignment horizontal="center" vertical="center" wrapText="1"/>
    </xf>
    <xf numFmtId="164" fontId="20" fillId="0" borderId="5" xfId="0" applyNumberFormat="1" applyFont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164" fontId="20" fillId="0" borderId="107" xfId="0" applyNumberFormat="1" applyFont="1" applyBorder="1" applyAlignment="1">
      <alignment horizontal="center" vertical="center" wrapText="1"/>
    </xf>
    <xf numFmtId="164" fontId="20" fillId="0" borderId="108" xfId="0" applyNumberFormat="1" applyFont="1" applyBorder="1" applyAlignment="1">
      <alignment horizontal="center" vertical="center" wrapText="1"/>
    </xf>
    <xf numFmtId="1" fontId="20" fillId="0" borderId="5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107" xfId="0" applyFont="1" applyBorder="1" applyAlignment="1">
      <alignment horizontal="center" vertical="center" wrapText="1"/>
    </xf>
    <xf numFmtId="0" fontId="2" fillId="15" borderId="57" xfId="0" applyFont="1" applyFill="1" applyBorder="1" applyAlignment="1">
      <alignment horizontal="center" vertical="center" wrapText="1"/>
    </xf>
    <xf numFmtId="0" fontId="2" fillId="15" borderId="58" xfId="0" applyFont="1" applyFill="1" applyBorder="1" applyAlignment="1">
      <alignment horizontal="center" vertical="center" wrapText="1"/>
    </xf>
    <xf numFmtId="0" fontId="2" fillId="15" borderId="62" xfId="0" applyFont="1" applyFill="1" applyBorder="1" applyAlignment="1">
      <alignment horizontal="center" vertical="center" wrapText="1"/>
    </xf>
    <xf numFmtId="165" fontId="20" fillId="16" borderId="109" xfId="0" applyNumberFormat="1" applyFont="1" applyFill="1" applyBorder="1" applyAlignment="1">
      <alignment horizontal="center" vertical="center" wrapText="1"/>
    </xf>
    <xf numFmtId="0" fontId="2" fillId="15" borderId="65" xfId="0" applyFont="1" applyFill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left" wrapText="1"/>
    </xf>
    <xf numFmtId="168" fontId="2" fillId="8" borderId="3" xfId="0" applyNumberFormat="1" applyFont="1" applyFill="1" applyBorder="1" applyAlignment="1">
      <alignment horizontal="left" wrapText="1"/>
    </xf>
    <xf numFmtId="0" fontId="49" fillId="0" borderId="0" xfId="0" applyFont="1" applyAlignment="1">
      <alignment horizontal="left"/>
    </xf>
    <xf numFmtId="2" fontId="16" fillId="0" borderId="3" xfId="0" applyNumberFormat="1" applyFont="1" applyBorder="1" applyAlignment="1">
      <alignment horizontal="left" wrapText="1"/>
    </xf>
    <xf numFmtId="2" fontId="16" fillId="8" borderId="3" xfId="0" applyNumberFormat="1" applyFont="1" applyFill="1" applyBorder="1" applyAlignment="1">
      <alignment horizontal="left" wrapText="1"/>
    </xf>
    <xf numFmtId="168" fontId="16" fillId="8" borderId="3" xfId="0" applyNumberFormat="1" applyFont="1" applyFill="1" applyBorder="1" applyAlignment="1">
      <alignment horizontal="left" wrapText="1"/>
    </xf>
    <xf numFmtId="0" fontId="62" fillId="0" borderId="0" xfId="0" applyFont="1" applyAlignment="1">
      <alignment horizontal="left"/>
    </xf>
    <xf numFmtId="0" fontId="38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166" fontId="2" fillId="8" borderId="52" xfId="0" applyNumberFormat="1" applyFont="1" applyFill="1" applyBorder="1" applyAlignment="1">
      <alignment horizontal="center" vertical="center" wrapText="1"/>
    </xf>
    <xf numFmtId="166" fontId="2" fillId="8" borderId="66" xfId="0" applyNumberFormat="1" applyFont="1" applyFill="1" applyBorder="1" applyAlignment="1">
      <alignment horizontal="center" vertical="center" wrapText="1"/>
    </xf>
    <xf numFmtId="166" fontId="2" fillId="8" borderId="61" xfId="0" applyNumberFormat="1" applyFont="1" applyFill="1" applyBorder="1" applyAlignment="1">
      <alignment horizontal="center" vertical="center" wrapText="1"/>
    </xf>
    <xf numFmtId="2" fontId="2" fillId="8" borderId="66" xfId="0" applyNumberFormat="1" applyFont="1" applyFill="1" applyBorder="1" applyAlignment="1">
      <alignment horizontal="center" vertical="center" wrapText="1"/>
    </xf>
    <xf numFmtId="166" fontId="2" fillId="8" borderId="55" xfId="0" applyNumberFormat="1" applyFont="1" applyFill="1" applyBorder="1" applyAlignment="1">
      <alignment horizontal="center" vertical="center" wrapText="1"/>
    </xf>
    <xf numFmtId="166" fontId="2" fillId="8" borderId="54" xfId="0" applyNumberFormat="1" applyFont="1" applyFill="1" applyBorder="1" applyAlignment="1">
      <alignment horizontal="center" vertical="center" wrapText="1"/>
    </xf>
    <xf numFmtId="166" fontId="2" fillId="8" borderId="65" xfId="0" applyNumberFormat="1" applyFont="1" applyFill="1" applyBorder="1" applyAlignment="1">
      <alignment horizontal="center" vertical="center" wrapText="1"/>
    </xf>
    <xf numFmtId="2" fontId="2" fillId="8" borderId="57" xfId="0" applyNumberFormat="1" applyFont="1" applyFill="1" applyBorder="1" applyAlignment="1">
      <alignment horizontal="center" vertical="center" wrapText="1"/>
    </xf>
    <xf numFmtId="2" fontId="2" fillId="8" borderId="58" xfId="0" applyNumberFormat="1" applyFont="1" applyFill="1" applyBorder="1" applyAlignment="1">
      <alignment horizontal="center" vertical="center" wrapText="1"/>
    </xf>
    <xf numFmtId="2" fontId="20" fillId="8" borderId="4" xfId="0" applyNumberFormat="1" applyFont="1" applyFill="1" applyBorder="1" applyAlignment="1">
      <alignment horizontal="center" vertical="center" wrapText="1"/>
    </xf>
    <xf numFmtId="2" fontId="20" fillId="8" borderId="17" xfId="0" applyNumberFormat="1" applyFont="1" applyFill="1" applyBorder="1" applyAlignment="1">
      <alignment horizontal="center" vertical="center" wrapText="1"/>
    </xf>
    <xf numFmtId="2" fontId="20" fillId="14" borderId="18" xfId="0" applyNumberFormat="1" applyFont="1" applyFill="1" applyBorder="1" applyAlignment="1">
      <alignment horizontal="center" vertical="center" wrapText="1"/>
    </xf>
    <xf numFmtId="0" fontId="2" fillId="7" borderId="93" xfId="0" applyFont="1" applyFill="1" applyBorder="1" applyAlignment="1">
      <alignment horizontal="center" vertical="center" wrapText="1"/>
    </xf>
    <xf numFmtId="2" fontId="20" fillId="14" borderId="17" xfId="0" applyNumberFormat="1" applyFont="1" applyFill="1" applyBorder="1" applyAlignment="1">
      <alignment horizontal="center" vertical="center" wrapText="1"/>
    </xf>
    <xf numFmtId="2" fontId="20" fillId="14" borderId="36" xfId="0" applyNumberFormat="1" applyFont="1" applyFill="1" applyBorder="1" applyAlignment="1">
      <alignment horizontal="center" vertical="center" wrapText="1"/>
    </xf>
    <xf numFmtId="2" fontId="20" fillId="14" borderId="38" xfId="0" applyNumberFormat="1" applyFont="1" applyFill="1" applyBorder="1" applyAlignment="1">
      <alignment horizontal="center" vertical="center" wrapText="1"/>
    </xf>
    <xf numFmtId="2" fontId="2" fillId="8" borderId="73" xfId="0" applyNumberFormat="1" applyFont="1" applyFill="1" applyBorder="1" applyAlignment="1">
      <alignment horizontal="center" vertical="center" wrapText="1"/>
    </xf>
    <xf numFmtId="2" fontId="2" fillId="8" borderId="44" xfId="0" applyNumberFormat="1" applyFont="1" applyFill="1" applyBorder="1" applyAlignment="1">
      <alignment horizontal="center" vertical="center" wrapText="1"/>
    </xf>
    <xf numFmtId="2" fontId="2" fillId="8" borderId="45" xfId="0" applyNumberFormat="1" applyFont="1" applyFill="1" applyBorder="1" applyAlignment="1">
      <alignment horizontal="center" vertical="center" wrapText="1"/>
    </xf>
    <xf numFmtId="2" fontId="2" fillId="8" borderId="77" xfId="0" applyNumberFormat="1" applyFont="1" applyFill="1" applyBorder="1" applyAlignment="1">
      <alignment horizontal="center" vertical="center" wrapText="1"/>
    </xf>
    <xf numFmtId="2" fontId="2" fillId="8" borderId="46" xfId="0" applyNumberFormat="1" applyFont="1" applyFill="1" applyBorder="1" applyAlignment="1">
      <alignment horizontal="center" vertical="center" wrapText="1"/>
    </xf>
    <xf numFmtId="2" fontId="2" fillId="8" borderId="105" xfId="0" applyNumberFormat="1" applyFont="1" applyFill="1" applyBorder="1" applyAlignment="1">
      <alignment horizontal="center" vertical="center" wrapText="1"/>
    </xf>
    <xf numFmtId="2" fontId="2" fillId="8" borderId="32" xfId="0" applyNumberFormat="1" applyFont="1" applyFill="1" applyBorder="1" applyAlignment="1">
      <alignment horizontal="center" vertical="center" wrapText="1"/>
    </xf>
    <xf numFmtId="2" fontId="20" fillId="8" borderId="37" xfId="0" applyNumberFormat="1" applyFont="1" applyFill="1" applyBorder="1" applyAlignment="1">
      <alignment horizontal="center" vertical="center" wrapText="1"/>
    </xf>
    <xf numFmtId="2" fontId="20" fillId="8" borderId="19" xfId="0" applyNumberFormat="1" applyFont="1" applyFill="1" applyBorder="1" applyAlignment="1">
      <alignment horizontal="center" vertical="center" wrapText="1"/>
    </xf>
    <xf numFmtId="2" fontId="20" fillId="8" borderId="36" xfId="0" applyNumberFormat="1" applyFont="1" applyFill="1" applyBorder="1" applyAlignment="1">
      <alignment horizontal="center" vertical="center" wrapText="1"/>
    </xf>
    <xf numFmtId="0" fontId="2" fillId="7" borderId="89" xfId="0" applyFont="1" applyFill="1" applyBorder="1" applyAlignment="1">
      <alignment horizontal="center" vertical="center" wrapText="1"/>
    </xf>
    <xf numFmtId="0" fontId="2" fillId="7" borderId="98" xfId="0" applyFont="1" applyFill="1" applyBorder="1" applyAlignment="1">
      <alignment horizontal="center" vertical="center" wrapText="1"/>
    </xf>
    <xf numFmtId="2" fontId="20" fillId="14" borderId="33" xfId="0" applyNumberFormat="1" applyFont="1" applyFill="1" applyBorder="1" applyAlignment="1">
      <alignment horizontal="center" vertical="center" wrapText="1"/>
    </xf>
    <xf numFmtId="2" fontId="20" fillId="14" borderId="35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0" fontId="20" fillId="0" borderId="4" xfId="0" applyNumberFormat="1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2" fontId="20" fillId="12" borderId="45" xfId="0" applyNumberFormat="1" applyFont="1" applyFill="1" applyBorder="1" applyAlignment="1">
      <alignment horizontal="center" vertical="center" wrapText="1"/>
    </xf>
    <xf numFmtId="2" fontId="2" fillId="18" borderId="45" xfId="0" applyNumberFormat="1" applyFont="1" applyFill="1" applyBorder="1" applyAlignment="1">
      <alignment horizontal="center" vertical="center" wrapText="1"/>
    </xf>
    <xf numFmtId="2" fontId="2" fillId="18" borderId="63" xfId="0" applyNumberFormat="1" applyFont="1" applyFill="1" applyBorder="1" applyAlignment="1">
      <alignment horizontal="center" vertical="center" wrapText="1"/>
    </xf>
    <xf numFmtId="2" fontId="2" fillId="0" borderId="44" xfId="0" applyNumberFormat="1" applyFont="1" applyBorder="1" applyAlignment="1">
      <alignment horizontal="center" vertical="center" wrapText="1"/>
    </xf>
    <xf numFmtId="165" fontId="20" fillId="8" borderId="48" xfId="0" applyNumberFormat="1" applyFont="1" applyFill="1" applyBorder="1" applyAlignment="1">
      <alignment horizontal="center" vertical="center" wrapText="1"/>
    </xf>
    <xf numFmtId="165" fontId="20" fillId="8" borderId="51" xfId="0" applyNumberFormat="1" applyFont="1" applyFill="1" applyBorder="1" applyAlignment="1">
      <alignment horizontal="center" vertical="center" wrapText="1"/>
    </xf>
    <xf numFmtId="0" fontId="2" fillId="3" borderId="54" xfId="0" applyFont="1" applyFill="1" applyBorder="1" applyAlignment="1">
      <alignment horizontal="center" vertical="center" wrapText="1"/>
    </xf>
    <xf numFmtId="0" fontId="2" fillId="23" borderId="1" xfId="0" applyFont="1" applyFill="1" applyBorder="1" applyAlignment="1">
      <alignment horizontal="center" vertical="center" wrapText="1"/>
    </xf>
    <xf numFmtId="166" fontId="20" fillId="0" borderId="1" xfId="0" applyNumberFormat="1" applyFont="1" applyBorder="1" applyAlignment="1">
      <alignment horizontal="center" vertical="center" wrapText="1"/>
    </xf>
    <xf numFmtId="9" fontId="35" fillId="0" borderId="17" xfId="5" applyFont="1" applyBorder="1" applyAlignment="1">
      <alignment horizontal="center" vertical="center" wrapText="1"/>
    </xf>
    <xf numFmtId="9" fontId="35" fillId="0" borderId="4" xfId="5" applyFont="1" applyBorder="1" applyAlignment="1">
      <alignment horizontal="center" vertical="center" wrapText="1"/>
    </xf>
    <xf numFmtId="2" fontId="2" fillId="0" borderId="61" xfId="0" applyNumberFormat="1" applyFont="1" applyBorder="1" applyAlignment="1">
      <alignment vertical="center" wrapText="1"/>
    </xf>
    <xf numFmtId="2" fontId="2" fillId="0" borderId="62" xfId="0" applyNumberFormat="1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2" fillId="7" borderId="69" xfId="0" applyFont="1" applyFill="1" applyBorder="1" applyAlignment="1">
      <alignment horizontal="center" vertical="center" wrapText="1"/>
    </xf>
    <xf numFmtId="0" fontId="2" fillId="7" borderId="104" xfId="0" applyFont="1" applyFill="1" applyBorder="1" applyAlignment="1">
      <alignment horizontal="center" vertical="center" wrapText="1"/>
    </xf>
    <xf numFmtId="0" fontId="2" fillId="7" borderId="48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18" borderId="50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 wrapText="1"/>
    </xf>
    <xf numFmtId="165" fontId="20" fillId="12" borderId="18" xfId="0" applyNumberFormat="1" applyFont="1" applyFill="1" applyBorder="1" applyAlignment="1">
      <alignment horizontal="center" vertical="center" wrapText="1"/>
    </xf>
    <xf numFmtId="164" fontId="2" fillId="0" borderId="66" xfId="0" applyNumberFormat="1" applyFont="1" applyBorder="1" applyAlignment="1">
      <alignment horizontal="center" vertical="center" wrapText="1"/>
    </xf>
    <xf numFmtId="165" fontId="2" fillId="0" borderId="58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65" fillId="8" borderId="3" xfId="10" applyFont="1" applyFill="1"/>
    <xf numFmtId="0" fontId="2" fillId="20" borderId="33" xfId="0" applyFont="1" applyFill="1" applyBorder="1" applyAlignment="1">
      <alignment horizontal="center" vertical="center" wrapText="1"/>
    </xf>
    <xf numFmtId="0" fontId="24" fillId="20" borderId="34" xfId="0" applyFont="1" applyFill="1" applyBorder="1" applyAlignment="1">
      <alignment horizontal="center"/>
    </xf>
    <xf numFmtId="164" fontId="24" fillId="20" borderId="34" xfId="0" applyNumberFormat="1" applyFont="1" applyFill="1" applyBorder="1" applyAlignment="1">
      <alignment horizontal="center" vertical="center"/>
    </xf>
    <xf numFmtId="164" fontId="24" fillId="20" borderId="35" xfId="0" applyNumberFormat="1" applyFont="1" applyFill="1" applyBorder="1" applyAlignment="1">
      <alignment horizontal="center" vertical="center"/>
    </xf>
    <xf numFmtId="165" fontId="18" fillId="20" borderId="64" xfId="0" applyNumberFormat="1" applyFont="1" applyFill="1" applyBorder="1" applyAlignment="1">
      <alignment horizontal="center" vertical="center" wrapText="1"/>
    </xf>
    <xf numFmtId="0" fontId="2" fillId="20" borderId="17" xfId="0" applyFont="1" applyFill="1" applyBorder="1" applyAlignment="1">
      <alignment horizontal="center" vertical="center" wrapText="1"/>
    </xf>
    <xf numFmtId="0" fontId="18" fillId="20" borderId="4" xfId="0" applyFont="1" applyFill="1" applyBorder="1"/>
    <xf numFmtId="164" fontId="24" fillId="20" borderId="4" xfId="0" applyNumberFormat="1" applyFont="1" applyFill="1" applyBorder="1" applyAlignment="1">
      <alignment horizontal="center" vertical="center"/>
    </xf>
    <xf numFmtId="164" fontId="24" fillId="20" borderId="18" xfId="0" applyNumberFormat="1" applyFont="1" applyFill="1" applyBorder="1" applyAlignment="1">
      <alignment horizontal="center" vertical="center"/>
    </xf>
    <xf numFmtId="165" fontId="18" fillId="20" borderId="19" xfId="0" applyNumberFormat="1" applyFont="1" applyFill="1" applyBorder="1" applyAlignment="1">
      <alignment horizontal="center" vertical="center" wrapText="1"/>
    </xf>
    <xf numFmtId="0" fontId="66" fillId="20" borderId="3" xfId="0" applyFont="1" applyFill="1" applyBorder="1" applyAlignment="1">
      <alignment horizontal="left" vertical="center"/>
    </xf>
    <xf numFmtId="0" fontId="67" fillId="29" borderId="110" xfId="0" applyFont="1" applyFill="1" applyBorder="1" applyAlignment="1">
      <alignment horizontal="center" vertical="center" wrapText="1"/>
    </xf>
    <xf numFmtId="0" fontId="67" fillId="29" borderId="111" xfId="0" applyFont="1" applyFill="1" applyBorder="1" applyAlignment="1">
      <alignment horizontal="center" vertical="center" wrapText="1"/>
    </xf>
    <xf numFmtId="0" fontId="67" fillId="29" borderId="72" xfId="0" applyFont="1" applyFill="1" applyBorder="1" applyAlignment="1">
      <alignment horizontal="center" vertical="center" wrapText="1"/>
    </xf>
    <xf numFmtId="14" fontId="63" fillId="30" borderId="17" xfId="0" applyNumberFormat="1" applyFont="1" applyFill="1" applyBorder="1" applyAlignment="1">
      <alignment horizontal="center" vertical="center" wrapText="1"/>
    </xf>
    <xf numFmtId="172" fontId="10" fillId="22" borderId="4" xfId="0" applyNumberFormat="1" applyFont="1" applyFill="1" applyBorder="1" applyAlignment="1">
      <alignment horizontal="center"/>
    </xf>
    <xf numFmtId="166" fontId="10" fillId="22" borderId="4" xfId="0" applyNumberFormat="1" applyFont="1" applyFill="1" applyBorder="1" applyAlignment="1">
      <alignment horizontal="center"/>
    </xf>
    <xf numFmtId="166" fontId="10" fillId="22" borderId="18" xfId="0" applyNumberFormat="1" applyFont="1" applyFill="1" applyBorder="1" applyAlignment="1">
      <alignment horizontal="center"/>
    </xf>
    <xf numFmtId="14" fontId="63" fillId="30" borderId="44" xfId="0" applyNumberFormat="1" applyFont="1" applyFill="1" applyBorder="1" applyAlignment="1">
      <alignment horizontal="center" vertical="center" wrapText="1"/>
    </xf>
    <xf numFmtId="172" fontId="10" fillId="22" borderId="45" xfId="0" applyNumberFormat="1" applyFont="1" applyFill="1" applyBorder="1" applyAlignment="1">
      <alignment horizontal="center"/>
    </xf>
    <xf numFmtId="166" fontId="10" fillId="22" borderId="45" xfId="0" applyNumberFormat="1" applyFont="1" applyFill="1" applyBorder="1" applyAlignment="1">
      <alignment horizontal="center"/>
    </xf>
    <xf numFmtId="166" fontId="10" fillId="22" borderId="105" xfId="0" applyNumberFormat="1" applyFont="1" applyFill="1" applyBorder="1" applyAlignment="1">
      <alignment horizontal="center"/>
    </xf>
    <xf numFmtId="169" fontId="1" fillId="32" borderId="112" xfId="0" applyNumberFormat="1" applyFont="1" applyFill="1" applyBorder="1" applyAlignment="1">
      <alignment horizontal="center" vertical="center"/>
    </xf>
    <xf numFmtId="169" fontId="69" fillId="27" borderId="113" xfId="0" applyNumberFormat="1" applyFont="1" applyFill="1" applyBorder="1" applyAlignment="1">
      <alignment horizontal="center" vertical="center"/>
    </xf>
    <xf numFmtId="169" fontId="69" fillId="27" borderId="114" xfId="0" applyNumberFormat="1" applyFont="1" applyFill="1" applyBorder="1" applyAlignment="1">
      <alignment horizontal="center" vertical="center"/>
    </xf>
    <xf numFmtId="0" fontId="64" fillId="26" borderId="115" xfId="0" applyFont="1" applyFill="1" applyBorder="1" applyAlignment="1">
      <alignment horizontal="center" vertical="center" wrapText="1"/>
    </xf>
    <xf numFmtId="0" fontId="64" fillId="26" borderId="116" xfId="0" applyFont="1" applyFill="1" applyBorder="1" applyAlignment="1">
      <alignment horizontal="center" vertical="center" wrapText="1"/>
    </xf>
    <xf numFmtId="0" fontId="70" fillId="26" borderId="0" xfId="0" applyFont="1" applyFill="1" applyAlignment="1">
      <alignment horizontal="center" vertical="center" wrapText="1"/>
    </xf>
    <xf numFmtId="0" fontId="64" fillId="26" borderId="117" xfId="0" applyFont="1" applyFill="1" applyBorder="1" applyAlignment="1">
      <alignment horizontal="center" vertical="center" wrapText="1"/>
    </xf>
    <xf numFmtId="0" fontId="64" fillId="26" borderId="118" xfId="0" applyFont="1" applyFill="1" applyBorder="1" applyAlignment="1">
      <alignment horizontal="center" vertical="center" wrapText="1"/>
    </xf>
    <xf numFmtId="0" fontId="64" fillId="26" borderId="119" xfId="0" applyFont="1" applyFill="1" applyBorder="1" applyAlignment="1">
      <alignment horizontal="center" vertical="center" wrapText="1"/>
    </xf>
    <xf numFmtId="0" fontId="64" fillId="26" borderId="0" xfId="0" applyFont="1" applyFill="1" applyAlignment="1">
      <alignment horizontal="center" vertical="center" wrapText="1"/>
    </xf>
    <xf numFmtId="169" fontId="70" fillId="26" borderId="0" xfId="0" applyNumberFormat="1" applyFont="1" applyFill="1" applyAlignment="1">
      <alignment horizontal="center" vertical="center" wrapText="1"/>
    </xf>
    <xf numFmtId="169" fontId="1" fillId="32" borderId="120" xfId="0" applyNumberFormat="1" applyFont="1" applyFill="1" applyBorder="1" applyAlignment="1">
      <alignment horizontal="center" vertical="center"/>
    </xf>
    <xf numFmtId="169" fontId="69" fillId="27" borderId="121" xfId="0" applyNumberFormat="1" applyFont="1" applyFill="1" applyBorder="1" applyAlignment="1">
      <alignment horizontal="center" vertical="center"/>
    </xf>
    <xf numFmtId="169" fontId="69" fillId="27" borderId="122" xfId="0" applyNumberFormat="1" applyFont="1" applyFill="1" applyBorder="1" applyAlignment="1">
      <alignment horizontal="center" vertical="center"/>
    </xf>
    <xf numFmtId="0" fontId="64" fillId="26" borderId="123" xfId="0" applyFont="1" applyFill="1" applyBorder="1" applyAlignment="1">
      <alignment horizontal="center" vertical="center" wrapText="1"/>
    </xf>
    <xf numFmtId="0" fontId="64" fillId="26" borderId="124" xfId="0" applyFont="1" applyFill="1" applyBorder="1" applyAlignment="1">
      <alignment horizontal="center" vertical="center" wrapText="1"/>
    </xf>
    <xf numFmtId="169" fontId="1" fillId="32" borderId="125" xfId="0" applyNumberFormat="1" applyFont="1" applyFill="1" applyBorder="1" applyAlignment="1">
      <alignment horizontal="center" vertical="center"/>
    </xf>
    <xf numFmtId="169" fontId="69" fillId="27" borderId="126" xfId="0" applyNumberFormat="1" applyFont="1" applyFill="1" applyBorder="1" applyAlignment="1">
      <alignment horizontal="center" vertical="center"/>
    </xf>
    <xf numFmtId="169" fontId="69" fillId="27" borderId="127" xfId="0" applyNumberFormat="1" applyFont="1" applyFill="1" applyBorder="1" applyAlignment="1">
      <alignment horizontal="center" vertical="center"/>
    </xf>
    <xf numFmtId="175" fontId="20" fillId="0" borderId="4" xfId="0" applyNumberFormat="1" applyFont="1" applyBorder="1" applyAlignment="1">
      <alignment horizontal="center" vertical="center" wrapText="1"/>
    </xf>
    <xf numFmtId="172" fontId="20" fillId="0" borderId="4" xfId="0" applyNumberFormat="1" applyFont="1" applyBorder="1" applyAlignment="1">
      <alignment horizontal="center" vertical="center" wrapText="1"/>
    </xf>
    <xf numFmtId="172" fontId="0" fillId="0" borderId="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 vertical="center"/>
    </xf>
    <xf numFmtId="166" fontId="0" fillId="7" borderId="4" xfId="0" applyNumberForma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2" fillId="9" borderId="128" xfId="0" applyFont="1" applyFill="1" applyBorder="1" applyAlignment="1">
      <alignment horizontal="center" vertical="center" wrapText="1"/>
    </xf>
    <xf numFmtId="165" fontId="20" fillId="8" borderId="8" xfId="0" applyNumberFormat="1" applyFont="1" applyFill="1" applyBorder="1" applyAlignment="1">
      <alignment horizontal="center" vertical="center" wrapText="1"/>
    </xf>
    <xf numFmtId="0" fontId="2" fillId="9" borderId="33" xfId="0" applyFont="1" applyFill="1" applyBorder="1" applyAlignment="1">
      <alignment horizontal="center" vertical="center" wrapText="1"/>
    </xf>
    <xf numFmtId="0" fontId="2" fillId="9" borderId="35" xfId="0" applyFont="1" applyFill="1" applyBorder="1" applyAlignment="1">
      <alignment horizontal="center" vertical="center" wrapText="1"/>
    </xf>
    <xf numFmtId="165" fontId="20" fillId="8" borderId="17" xfId="0" applyNumberFormat="1" applyFont="1" applyFill="1" applyBorder="1" applyAlignment="1">
      <alignment horizontal="center" vertical="center" wrapText="1"/>
    </xf>
    <xf numFmtId="166" fontId="2" fillId="9" borderId="17" xfId="0" applyNumberFormat="1" applyFont="1" applyFill="1" applyBorder="1" applyAlignment="1">
      <alignment horizontal="center" vertical="center" wrapText="1"/>
    </xf>
    <xf numFmtId="166" fontId="2" fillId="9" borderId="18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6" fillId="21" borderId="50" xfId="0" applyNumberFormat="1" applyFont="1" applyFill="1" applyBorder="1" applyAlignment="1">
      <alignment horizontal="center" vertical="center"/>
    </xf>
    <xf numFmtId="166" fontId="26" fillId="21" borderId="48" xfId="0" applyNumberFormat="1" applyFont="1" applyFill="1" applyBorder="1" applyAlignment="1">
      <alignment horizontal="center" vertical="center"/>
    </xf>
    <xf numFmtId="166" fontId="26" fillId="21" borderId="51" xfId="0" applyNumberFormat="1" applyFont="1" applyFill="1" applyBorder="1" applyAlignment="1">
      <alignment horizontal="center" vertical="center"/>
    </xf>
    <xf numFmtId="166" fontId="2" fillId="9" borderId="56" xfId="0" applyNumberFormat="1" applyFont="1" applyFill="1" applyBorder="1" applyAlignment="1">
      <alignment horizontal="center" vertical="center" wrapText="1"/>
    </xf>
    <xf numFmtId="165" fontId="2" fillId="9" borderId="56" xfId="0" applyNumberFormat="1" applyFont="1" applyFill="1" applyBorder="1" applyAlignment="1">
      <alignment horizontal="center" vertical="center" wrapText="1"/>
    </xf>
    <xf numFmtId="166" fontId="2" fillId="9" borderId="57" xfId="0" applyNumberFormat="1" applyFont="1" applyFill="1" applyBorder="1" applyAlignment="1">
      <alignment horizontal="center" vertical="center" wrapText="1"/>
    </xf>
    <xf numFmtId="165" fontId="2" fillId="9" borderId="57" xfId="0" applyNumberFormat="1" applyFont="1" applyFill="1" applyBorder="1" applyAlignment="1">
      <alignment horizontal="center" vertical="center" wrapText="1"/>
    </xf>
    <xf numFmtId="165" fontId="2" fillId="9" borderId="63" xfId="0" applyNumberFormat="1" applyFont="1" applyFill="1" applyBorder="1" applyAlignment="1">
      <alignment horizontal="center" vertical="center" wrapText="1"/>
    </xf>
    <xf numFmtId="165" fontId="20" fillId="16" borderId="34" xfId="0" applyNumberFormat="1" applyFont="1" applyFill="1" applyBorder="1" applyAlignment="1">
      <alignment horizontal="center" vertical="center" wrapText="1"/>
    </xf>
    <xf numFmtId="165" fontId="20" fillId="16" borderId="45" xfId="0" applyNumberFormat="1" applyFont="1" applyFill="1" applyBorder="1" applyAlignment="1">
      <alignment horizontal="center" vertical="center" wrapText="1"/>
    </xf>
    <xf numFmtId="3" fontId="1" fillId="32" borderId="120" xfId="0" applyNumberFormat="1" applyFont="1" applyFill="1" applyBorder="1" applyAlignment="1">
      <alignment horizontal="center" vertical="center"/>
    </xf>
    <xf numFmtId="2" fontId="71" fillId="33" borderId="4" xfId="0" applyNumberFormat="1" applyFont="1" applyFill="1" applyBorder="1" applyAlignment="1">
      <alignment horizontal="center" vertical="center" wrapText="1"/>
    </xf>
    <xf numFmtId="165" fontId="71" fillId="33" borderId="4" xfId="0" applyNumberFormat="1" applyFont="1" applyFill="1" applyBorder="1" applyAlignment="1">
      <alignment horizontal="center" vertical="center" wrapText="1"/>
    </xf>
    <xf numFmtId="166" fontId="71" fillId="33" borderId="4" xfId="0" applyNumberFormat="1" applyFont="1" applyFill="1" applyBorder="1" applyAlignment="1">
      <alignment horizontal="center" vertical="center" wrapText="1"/>
    </xf>
    <xf numFmtId="0" fontId="72" fillId="33" borderId="4" xfId="0" applyFont="1" applyFill="1" applyBorder="1" applyAlignment="1">
      <alignment horizontal="center" vertical="center" wrapText="1"/>
    </xf>
    <xf numFmtId="0" fontId="26" fillId="0" borderId="18" xfId="0" applyFont="1" applyBorder="1" applyAlignment="1">
      <alignment horizontal="center" vertical="center"/>
    </xf>
    <xf numFmtId="170" fontId="2" fillId="0" borderId="49" xfId="0" applyNumberFormat="1" applyFont="1" applyBorder="1" applyAlignment="1">
      <alignment horizontal="center" vertical="center" wrapText="1"/>
    </xf>
    <xf numFmtId="0" fontId="0" fillId="0" borderId="48" xfId="0" applyBorder="1" applyAlignment="1">
      <alignment horizontal="center"/>
    </xf>
    <xf numFmtId="165" fontId="0" fillId="0" borderId="50" xfId="0" applyNumberFormat="1" applyBorder="1" applyAlignment="1">
      <alignment horizontal="center" vertical="center"/>
    </xf>
    <xf numFmtId="166" fontId="20" fillId="9" borderId="50" xfId="0" applyNumberFormat="1" applyFont="1" applyFill="1" applyBorder="1" applyAlignment="1">
      <alignment horizontal="center" vertical="center" wrapText="1"/>
    </xf>
    <xf numFmtId="0" fontId="2" fillId="9" borderId="55" xfId="0" applyFont="1" applyFill="1" applyBorder="1" applyAlignment="1">
      <alignment horizontal="center" vertical="center" wrapText="1"/>
    </xf>
    <xf numFmtId="165" fontId="20" fillId="16" borderId="132" xfId="0" applyNumberFormat="1" applyFont="1" applyFill="1" applyBorder="1" applyAlignment="1">
      <alignment horizontal="center" vertical="center" wrapText="1"/>
    </xf>
    <xf numFmtId="166" fontId="20" fillId="9" borderId="104" xfId="0" applyNumberFormat="1" applyFont="1" applyFill="1" applyBorder="1" applyAlignment="1">
      <alignment horizontal="center" vertical="center" wrapText="1"/>
    </xf>
    <xf numFmtId="165" fontId="20" fillId="0" borderId="80" xfId="0" applyNumberFormat="1" applyFont="1" applyBorder="1" applyAlignment="1">
      <alignment horizontal="center" vertical="center" wrapText="1"/>
    </xf>
    <xf numFmtId="166" fontId="2" fillId="9" borderId="97" xfId="0" applyNumberFormat="1" applyFont="1" applyFill="1" applyBorder="1" applyAlignment="1">
      <alignment horizontal="center" vertical="center" wrapText="1"/>
    </xf>
    <xf numFmtId="166" fontId="26" fillId="21" borderId="41" xfId="0" applyNumberFormat="1" applyFont="1" applyFill="1" applyBorder="1" applyAlignment="1">
      <alignment horizontal="center"/>
    </xf>
    <xf numFmtId="166" fontId="26" fillId="22" borderId="42" xfId="0" applyNumberFormat="1" applyFont="1" applyFill="1" applyBorder="1" applyAlignment="1">
      <alignment horizontal="center"/>
    </xf>
    <xf numFmtId="166" fontId="2" fillId="9" borderId="94" xfId="0" applyNumberFormat="1" applyFont="1" applyFill="1" applyBorder="1" applyAlignment="1">
      <alignment horizontal="center" vertical="center" wrapText="1"/>
    </xf>
    <xf numFmtId="166" fontId="26" fillId="21" borderId="95" xfId="0" applyNumberFormat="1" applyFont="1" applyFill="1" applyBorder="1" applyAlignment="1">
      <alignment horizontal="center"/>
    </xf>
    <xf numFmtId="166" fontId="26" fillId="22" borderId="96" xfId="0" applyNumberFormat="1" applyFont="1" applyFill="1" applyBorder="1" applyAlignment="1">
      <alignment horizontal="center"/>
    </xf>
    <xf numFmtId="166" fontId="2" fillId="9" borderId="99" xfId="0" applyNumberFormat="1" applyFont="1" applyFill="1" applyBorder="1" applyAlignment="1">
      <alignment horizontal="center" vertical="center" wrapText="1"/>
    </xf>
    <xf numFmtId="166" fontId="2" fillId="9" borderId="98" xfId="0" applyNumberFormat="1" applyFont="1" applyFill="1" applyBorder="1" applyAlignment="1">
      <alignment horizontal="center" vertical="center" wrapText="1"/>
    </xf>
    <xf numFmtId="165" fontId="26" fillId="21" borderId="41" xfId="0" applyNumberFormat="1" applyFont="1" applyFill="1" applyBorder="1" applyAlignment="1">
      <alignment horizontal="center"/>
    </xf>
    <xf numFmtId="165" fontId="26" fillId="22" borderId="42" xfId="0" applyNumberFormat="1" applyFont="1" applyFill="1" applyBorder="1" applyAlignment="1">
      <alignment horizontal="center"/>
    </xf>
    <xf numFmtId="165" fontId="26" fillId="21" borderId="81" xfId="0" applyNumberFormat="1" applyFont="1" applyFill="1" applyBorder="1" applyAlignment="1">
      <alignment horizontal="center"/>
    </xf>
    <xf numFmtId="165" fontId="26" fillId="22" borderId="78" xfId="0" applyNumberFormat="1" applyFont="1" applyFill="1" applyBorder="1" applyAlignment="1">
      <alignment horizontal="center"/>
    </xf>
    <xf numFmtId="0" fontId="40" fillId="0" borderId="0" xfId="0" applyFont="1" applyAlignment="1">
      <alignment horizontal="right"/>
    </xf>
    <xf numFmtId="2" fontId="40" fillId="0" borderId="0" xfId="0" applyNumberFormat="1" applyFont="1" applyAlignment="1">
      <alignment horizontal="right"/>
    </xf>
    <xf numFmtId="0" fontId="41" fillId="0" borderId="0" xfId="0" applyFont="1"/>
    <xf numFmtId="0" fontId="40" fillId="0" borderId="0" xfId="0" applyFont="1" applyAlignment="1">
      <alignment horizontal="center"/>
    </xf>
    <xf numFmtId="0" fontId="40" fillId="0" borderId="0" xfId="0" applyFont="1"/>
    <xf numFmtId="167" fontId="43" fillId="0" borderId="3" xfId="9" applyNumberFormat="1" applyFont="1" applyAlignment="1">
      <alignment horizontal="right"/>
    </xf>
    <xf numFmtId="0" fontId="40" fillId="0" borderId="90" xfId="0" applyFont="1" applyBorder="1"/>
    <xf numFmtId="0" fontId="40" fillId="0" borderId="90" xfId="0" applyFont="1" applyBorder="1" applyAlignment="1">
      <alignment horizontal="right"/>
    </xf>
    <xf numFmtId="0" fontId="40" fillId="0" borderId="3" xfId="7" applyFont="1" applyAlignment="1">
      <alignment vertical="center"/>
    </xf>
    <xf numFmtId="0" fontId="15" fillId="0" borderId="13" xfId="7" applyFont="1" applyBorder="1" applyAlignment="1">
      <alignment vertical="center"/>
    </xf>
    <xf numFmtId="0" fontId="15" fillId="0" borderId="19" xfId="7" applyFont="1" applyBorder="1" applyAlignment="1">
      <alignment vertical="center"/>
    </xf>
    <xf numFmtId="0" fontId="15" fillId="0" borderId="91" xfId="7" applyFont="1" applyBorder="1" applyAlignment="1">
      <alignment vertical="center"/>
    </xf>
    <xf numFmtId="0" fontId="7" fillId="0" borderId="13" xfId="7" applyBorder="1"/>
    <xf numFmtId="0" fontId="7" fillId="0" borderId="91" xfId="7" applyBorder="1"/>
    <xf numFmtId="0" fontId="7" fillId="0" borderId="19" xfId="7" applyBorder="1"/>
    <xf numFmtId="2" fontId="18" fillId="5" borderId="81" xfId="0" applyNumberFormat="1" applyFont="1" applyFill="1" applyBorder="1" applyAlignment="1">
      <alignment horizontal="center" vertical="center"/>
    </xf>
    <xf numFmtId="170" fontId="20" fillId="16" borderId="4" xfId="0" applyNumberFormat="1" applyFont="1" applyFill="1" applyBorder="1" applyAlignment="1">
      <alignment horizontal="center" vertical="center" wrapText="1"/>
    </xf>
    <xf numFmtId="165" fontId="26" fillId="16" borderId="4" xfId="0" applyNumberFormat="1" applyFont="1" applyFill="1" applyBorder="1" applyAlignment="1">
      <alignment horizontal="center" vertical="center"/>
    </xf>
    <xf numFmtId="0" fontId="18" fillId="16" borderId="95" xfId="0" applyFont="1" applyFill="1" applyBorder="1" applyAlignment="1">
      <alignment horizontal="center" vertical="center"/>
    </xf>
    <xf numFmtId="0" fontId="18" fillId="0" borderId="0" xfId="0" applyFont="1" applyAlignment="1">
      <alignment horizontal="left" indent="1"/>
    </xf>
    <xf numFmtId="2" fontId="26" fillId="16" borderId="4" xfId="0" applyNumberFormat="1" applyFont="1" applyFill="1" applyBorder="1" applyAlignment="1">
      <alignment horizontal="center" vertical="center"/>
    </xf>
    <xf numFmtId="2" fontId="26" fillId="5" borderId="81" xfId="0" applyNumberFormat="1" applyFont="1" applyFill="1" applyBorder="1" applyAlignment="1">
      <alignment horizontal="center" vertical="center"/>
    </xf>
    <xf numFmtId="166" fontId="37" fillId="15" borderId="99" xfId="0" applyNumberFormat="1" applyFont="1" applyFill="1" applyBorder="1" applyAlignment="1">
      <alignment horizontal="center" vertical="center" wrapText="1"/>
    </xf>
    <xf numFmtId="166" fontId="37" fillId="15" borderId="97" xfId="0" applyNumberFormat="1" applyFont="1" applyFill="1" applyBorder="1" applyAlignment="1">
      <alignment horizontal="center" vertical="center" wrapText="1"/>
    </xf>
    <xf numFmtId="166" fontId="37" fillId="15" borderId="98" xfId="0" applyNumberFormat="1" applyFont="1" applyFill="1" applyBorder="1" applyAlignment="1">
      <alignment horizontal="center" vertical="center" wrapText="1"/>
    </xf>
    <xf numFmtId="166" fontId="37" fillId="15" borderId="3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6" fontId="37" fillId="15" borderId="4" xfId="0" applyNumberFormat="1" applyFont="1" applyFill="1" applyBorder="1" applyAlignment="1">
      <alignment horizontal="center" vertical="center" wrapText="1"/>
    </xf>
    <xf numFmtId="166" fontId="37" fillId="15" borderId="88" xfId="0" applyNumberFormat="1" applyFont="1" applyFill="1" applyBorder="1" applyAlignment="1">
      <alignment horizontal="center" vertical="center" wrapText="1"/>
    </xf>
    <xf numFmtId="166" fontId="37" fillId="15" borderId="19" xfId="0" applyNumberFormat="1" applyFont="1" applyFill="1" applyBorder="1" applyAlignment="1">
      <alignment horizontal="center" vertical="center" wrapText="1"/>
    </xf>
    <xf numFmtId="0" fontId="24" fillId="0" borderId="3" xfId="0" applyFont="1" applyBorder="1"/>
    <xf numFmtId="0" fontId="24" fillId="0" borderId="3" xfId="0" applyFont="1" applyBorder="1" applyAlignment="1">
      <alignment horizontal="center"/>
    </xf>
    <xf numFmtId="166" fontId="37" fillId="15" borderId="100" xfId="0" applyNumberFormat="1" applyFont="1" applyFill="1" applyBorder="1" applyAlignment="1">
      <alignment horizontal="center" vertical="center" wrapText="1"/>
    </xf>
    <xf numFmtId="0" fontId="18" fillId="0" borderId="81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166" fontId="18" fillId="0" borderId="19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16" fontId="0" fillId="0" borderId="0" xfId="0" applyNumberFormat="1"/>
    <xf numFmtId="16" fontId="0" fillId="0" borderId="3" xfId="0" applyNumberFormat="1" applyBorder="1"/>
    <xf numFmtId="169" fontId="69" fillId="27" borderId="3" xfId="0" applyNumberFormat="1" applyFont="1" applyFill="1" applyBorder="1" applyAlignment="1">
      <alignment horizontal="center" vertical="center"/>
    </xf>
    <xf numFmtId="2" fontId="18" fillId="8" borderId="4" xfId="0" applyNumberFormat="1" applyFont="1" applyFill="1" applyBorder="1" applyAlignment="1">
      <alignment horizontal="center" vertical="center"/>
    </xf>
    <xf numFmtId="2" fontId="69" fillId="27" borderId="121" xfId="0" applyNumberFormat="1" applyFont="1" applyFill="1" applyBorder="1" applyAlignment="1">
      <alignment horizontal="center" vertical="center"/>
    </xf>
    <xf numFmtId="2" fontId="69" fillId="27" borderId="122" xfId="0" applyNumberFormat="1" applyFont="1" applyFill="1" applyBorder="1" applyAlignment="1">
      <alignment horizontal="center" vertical="center"/>
    </xf>
    <xf numFmtId="174" fontId="1" fillId="32" borderId="125" xfId="0" applyNumberFormat="1" applyFont="1" applyFill="1" applyBorder="1" applyAlignment="1">
      <alignment horizontal="center" vertical="center"/>
    </xf>
    <xf numFmtId="172" fontId="0" fillId="0" borderId="48" xfId="0" applyNumberFormat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34" borderId="34" xfId="0" applyFont="1" applyFill="1" applyBorder="1" applyAlignment="1">
      <alignment horizontal="center" vertical="center" wrapText="1"/>
    </xf>
    <xf numFmtId="2" fontId="20" fillId="24" borderId="13" xfId="0" applyNumberFormat="1" applyFont="1" applyFill="1" applyBorder="1" applyAlignment="1">
      <alignment horizontal="center" vertical="center" wrapText="1"/>
    </xf>
    <xf numFmtId="166" fontId="2" fillId="24" borderId="55" xfId="0" applyNumberFormat="1" applyFont="1" applyFill="1" applyBorder="1" applyAlignment="1">
      <alignment horizontal="center" vertical="center" wrapText="1"/>
    </xf>
    <xf numFmtId="165" fontId="2" fillId="0" borderId="60" xfId="0" applyNumberFormat="1" applyFont="1" applyBorder="1" applyAlignment="1">
      <alignment horizontal="center" vertical="center" wrapText="1"/>
    </xf>
    <xf numFmtId="10" fontId="20" fillId="10" borderId="1" xfId="5" applyNumberFormat="1" applyFont="1" applyFill="1" applyBorder="1" applyAlignment="1">
      <alignment horizontal="center" vertical="center" wrapText="1"/>
    </xf>
    <xf numFmtId="2" fontId="23" fillId="35" borderId="4" xfId="0" applyNumberFormat="1" applyFont="1" applyFill="1" applyBorder="1" applyAlignment="1">
      <alignment horizontal="center" vertical="center" wrapText="1"/>
    </xf>
    <xf numFmtId="9" fontId="0" fillId="0" borderId="0" xfId="5" applyFont="1"/>
    <xf numFmtId="16" fontId="0" fillId="0" borderId="0" xfId="0" applyNumberFormat="1" applyAlignment="1">
      <alignment horizontal="center"/>
    </xf>
    <xf numFmtId="10" fontId="20" fillId="0" borderId="17" xfId="0" applyNumberFormat="1" applyFont="1" applyBorder="1" applyAlignment="1">
      <alignment horizontal="center" vertical="center" wrapText="1"/>
    </xf>
    <xf numFmtId="167" fontId="20" fillId="0" borderId="4" xfId="5" applyNumberFormat="1" applyFont="1" applyBorder="1" applyAlignment="1">
      <alignment horizontal="center" vertical="center" wrapText="1"/>
    </xf>
    <xf numFmtId="10" fontId="2" fillId="0" borderId="60" xfId="0" applyNumberFormat="1" applyFont="1" applyBorder="1" applyAlignment="1">
      <alignment vertical="center" wrapText="1"/>
    </xf>
    <xf numFmtId="10" fontId="2" fillId="0" borderId="3" xfId="0" applyNumberFormat="1" applyFont="1" applyBorder="1" applyAlignment="1">
      <alignment horizontal="center" vertical="center" wrapText="1"/>
    </xf>
    <xf numFmtId="10" fontId="18" fillId="0" borderId="0" xfId="0" applyNumberFormat="1" applyFont="1"/>
    <xf numFmtId="10" fontId="46" fillId="0" borderId="0" xfId="0" applyNumberFormat="1" applyFont="1"/>
    <xf numFmtId="10" fontId="49" fillId="8" borderId="0" xfId="0" applyNumberFormat="1" applyFont="1" applyFill="1" applyAlignment="1">
      <alignment horizontal="left"/>
    </xf>
    <xf numFmtId="10" fontId="49" fillId="8" borderId="0" xfId="0" applyNumberFormat="1" applyFont="1" applyFill="1" applyAlignment="1">
      <alignment horizontal="center" vertical="center"/>
    </xf>
    <xf numFmtId="10" fontId="46" fillId="0" borderId="0" xfId="0" applyNumberFormat="1" applyFont="1" applyAlignment="1">
      <alignment horizontal="left"/>
    </xf>
    <xf numFmtId="10" fontId="48" fillId="0" borderId="0" xfId="0" applyNumberFormat="1" applyFont="1" applyAlignment="1">
      <alignment horizontal="center"/>
    </xf>
    <xf numFmtId="10" fontId="48" fillId="0" borderId="0" xfId="0" applyNumberFormat="1" applyFont="1" applyAlignment="1">
      <alignment horizontal="left"/>
    </xf>
    <xf numFmtId="10" fontId="48" fillId="0" borderId="0" xfId="0" applyNumberFormat="1" applyFont="1"/>
    <xf numFmtId="10" fontId="20" fillId="0" borderId="4" xfId="0" applyNumberFormat="1" applyFont="1" applyBorder="1" applyAlignment="1">
      <alignment horizontal="center" vertical="center" wrapText="1"/>
    </xf>
    <xf numFmtId="10" fontId="2" fillId="0" borderId="61" xfId="0" applyNumberFormat="1" applyFont="1" applyBorder="1" applyAlignment="1">
      <alignment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2" fillId="12" borderId="48" xfId="0" applyFont="1" applyFill="1" applyBorder="1" applyAlignment="1">
      <alignment horizontal="center" vertical="center" wrapText="1"/>
    </xf>
    <xf numFmtId="0" fontId="2" fillId="12" borderId="104" xfId="0" applyFont="1" applyFill="1" applyBorder="1" applyAlignment="1">
      <alignment horizontal="center" vertical="center" wrapText="1"/>
    </xf>
    <xf numFmtId="2" fontId="18" fillId="0" borderId="17" xfId="0" applyNumberFormat="1" applyFont="1" applyBorder="1" applyAlignment="1">
      <alignment horizontal="center" vertical="center"/>
    </xf>
    <xf numFmtId="2" fontId="35" fillId="0" borderId="59" xfId="0" applyNumberFormat="1" applyFont="1" applyBorder="1" applyAlignment="1">
      <alignment horizontal="center" vertical="center" wrapText="1"/>
    </xf>
    <xf numFmtId="164" fontId="20" fillId="0" borderId="4" xfId="0" applyNumberFormat="1" applyFont="1" applyBorder="1" applyAlignment="1">
      <alignment horizontal="center" vertical="center" wrapText="1"/>
    </xf>
    <xf numFmtId="164" fontId="20" fillId="0" borderId="17" xfId="0" applyNumberFormat="1" applyFont="1" applyBorder="1" applyAlignment="1">
      <alignment horizontal="center" vertical="center" wrapText="1"/>
    </xf>
    <xf numFmtId="164" fontId="35" fillId="0" borderId="17" xfId="0" applyNumberFormat="1" applyFont="1" applyBorder="1" applyAlignment="1">
      <alignment horizontal="center" vertical="center" wrapText="1"/>
    </xf>
    <xf numFmtId="164" fontId="35" fillId="0" borderId="4" xfId="0" applyNumberFormat="1" applyFont="1" applyBorder="1" applyAlignment="1">
      <alignment horizontal="center" vertical="center" wrapText="1"/>
    </xf>
    <xf numFmtId="164" fontId="35" fillId="0" borderId="59" xfId="0" applyNumberFormat="1" applyFont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left" vertical="center" wrapText="1"/>
    </xf>
    <xf numFmtId="0" fontId="12" fillId="5" borderId="0" xfId="0" applyFont="1" applyFill="1" applyAlignment="1">
      <alignment horizontal="left" vertical="center" wrapText="1"/>
    </xf>
    <xf numFmtId="0" fontId="0" fillId="5" borderId="0" xfId="0" applyFill="1"/>
    <xf numFmtId="0" fontId="3" fillId="0" borderId="8" xfId="0" applyFont="1" applyBorder="1" applyAlignment="1">
      <alignment horizontal="justify" vertical="top" wrapText="1"/>
    </xf>
    <xf numFmtId="0" fontId="3" fillId="0" borderId="9" xfId="0" applyFont="1" applyBorder="1" applyAlignment="1">
      <alignment horizontal="justify" vertical="top" wrapText="1"/>
    </xf>
    <xf numFmtId="0" fontId="3" fillId="0" borderId="10" xfId="0" applyFont="1" applyBorder="1" applyAlignment="1">
      <alignment horizontal="justify" vertical="top" wrapText="1"/>
    </xf>
    <xf numFmtId="0" fontId="11" fillId="4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left" vertical="center" wrapText="1"/>
    </xf>
    <xf numFmtId="0" fontId="14" fillId="5" borderId="0" xfId="0" applyFont="1" applyFill="1"/>
    <xf numFmtId="0" fontId="1" fillId="6" borderId="0" xfId="0" applyFont="1" applyFill="1" applyAlignment="1">
      <alignment horizontal="left" vertical="center" wrapText="1"/>
    </xf>
    <xf numFmtId="0" fontId="0" fillId="6" borderId="0" xfId="0" applyFill="1"/>
    <xf numFmtId="14" fontId="3" fillId="0" borderId="4" xfId="0" applyNumberFormat="1" applyFont="1" applyBorder="1" applyAlignment="1">
      <alignment horizontal="left" vertical="center" wrapText="1"/>
    </xf>
    <xf numFmtId="1" fontId="22" fillId="0" borderId="41" xfId="12" applyNumberFormat="1" applyFont="1" applyBorder="1" applyAlignment="1">
      <alignment horizontal="center" vertical="center"/>
    </xf>
    <xf numFmtId="1" fontId="22" fillId="0" borderId="91" xfId="12" applyNumberFormat="1" applyFont="1" applyBorder="1" applyAlignment="1">
      <alignment horizontal="center" vertical="center"/>
    </xf>
    <xf numFmtId="1" fontId="22" fillId="0" borderId="19" xfId="12" applyNumberFormat="1" applyFont="1" applyBorder="1" applyAlignment="1">
      <alignment horizontal="center" vertical="center"/>
    </xf>
    <xf numFmtId="0" fontId="40" fillId="0" borderId="3" xfId="10" applyFont="1" applyAlignment="1">
      <alignment horizontal="left" vertical="top" wrapText="1"/>
    </xf>
    <xf numFmtId="166" fontId="2" fillId="15" borderId="89" xfId="0" applyNumberFormat="1" applyFont="1" applyFill="1" applyBorder="1" applyAlignment="1">
      <alignment horizontal="left" vertical="center" wrapText="1"/>
    </xf>
    <xf numFmtId="166" fontId="2" fillId="15" borderId="67" xfId="0" applyNumberFormat="1" applyFont="1" applyFill="1" applyBorder="1" applyAlignment="1">
      <alignment horizontal="left" vertical="center" wrapText="1"/>
    </xf>
    <xf numFmtId="166" fontId="2" fillId="15" borderId="106" xfId="0" applyNumberFormat="1" applyFont="1" applyFill="1" applyBorder="1" applyAlignment="1">
      <alignment horizontal="left" vertical="center" wrapText="1"/>
    </xf>
    <xf numFmtId="0" fontId="40" fillId="0" borderId="0" xfId="0" applyFont="1" applyAlignment="1">
      <alignment horizontal="left" vertical="top" wrapText="1"/>
    </xf>
    <xf numFmtId="0" fontId="1" fillId="6" borderId="3" xfId="0" applyFont="1" applyFill="1" applyBorder="1" applyAlignment="1">
      <alignment horizontal="left" vertical="center" wrapText="1"/>
    </xf>
    <xf numFmtId="0" fontId="15" fillId="0" borderId="3" xfId="7" applyFont="1" applyAlignment="1">
      <alignment horizontal="left" vertical="center"/>
    </xf>
    <xf numFmtId="0" fontId="1" fillId="6" borderId="69" xfId="0" applyFont="1" applyFill="1" applyBorder="1" applyAlignment="1">
      <alignment horizontal="left" vertical="center" wrapText="1"/>
    </xf>
    <xf numFmtId="166" fontId="21" fillId="15" borderId="13" xfId="0" applyNumberFormat="1" applyFont="1" applyFill="1" applyBorder="1" applyAlignment="1">
      <alignment horizontal="center" vertical="center" wrapText="1"/>
    </xf>
    <xf numFmtId="166" fontId="21" fillId="15" borderId="91" xfId="0" applyNumberFormat="1" applyFont="1" applyFill="1" applyBorder="1" applyAlignment="1">
      <alignment horizontal="center" vertical="center" wrapText="1"/>
    </xf>
    <xf numFmtId="166" fontId="21" fillId="15" borderId="19" xfId="0" applyNumberFormat="1" applyFont="1" applyFill="1" applyBorder="1" applyAlignment="1">
      <alignment horizontal="center" vertical="center" wrapText="1"/>
    </xf>
    <xf numFmtId="0" fontId="7" fillId="0" borderId="13" xfId="7" applyBorder="1" applyAlignment="1">
      <alignment horizontal="center"/>
    </xf>
    <xf numFmtId="0" fontId="7" fillId="0" borderId="91" xfId="7" applyBorder="1" applyAlignment="1">
      <alignment horizontal="center"/>
    </xf>
    <xf numFmtId="0" fontId="7" fillId="0" borderId="19" xfId="7" applyBorder="1" applyAlignment="1">
      <alignment horizontal="center"/>
    </xf>
    <xf numFmtId="166" fontId="2" fillId="15" borderId="3" xfId="0" applyNumberFormat="1" applyFont="1" applyFill="1" applyBorder="1" applyAlignment="1">
      <alignment horizontal="left" vertical="center" wrapText="1"/>
    </xf>
    <xf numFmtId="0" fontId="32" fillId="15" borderId="60" xfId="0" applyFont="1" applyFill="1" applyBorder="1" applyAlignment="1">
      <alignment horizontal="center" vertical="center" wrapText="1"/>
    </xf>
    <xf numFmtId="0" fontId="32" fillId="15" borderId="61" xfId="0" applyFont="1" applyFill="1" applyBorder="1" applyAlignment="1">
      <alignment horizontal="center" vertical="center" wrapText="1"/>
    </xf>
    <xf numFmtId="0" fontId="32" fillId="15" borderId="62" xfId="0" applyFont="1" applyFill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166" fontId="16" fillId="6" borderId="70" xfId="0" applyNumberFormat="1" applyFont="1" applyFill="1" applyBorder="1" applyAlignment="1">
      <alignment horizontal="center" vertical="center" wrapText="1"/>
    </xf>
    <xf numFmtId="166" fontId="53" fillId="6" borderId="70" xfId="0" applyNumberFormat="1" applyFont="1" applyFill="1" applyBorder="1" applyAlignment="1">
      <alignment horizontal="center" vertical="center"/>
    </xf>
    <xf numFmtId="166" fontId="38" fillId="6" borderId="3" xfId="0" applyNumberFormat="1" applyFont="1" applyFill="1" applyBorder="1" applyAlignment="1">
      <alignment horizontal="center" vertical="center"/>
    </xf>
    <xf numFmtId="166" fontId="38" fillId="6" borderId="70" xfId="0" applyNumberFormat="1" applyFont="1" applyFill="1" applyBorder="1" applyAlignment="1">
      <alignment horizontal="center" vertical="center"/>
    </xf>
    <xf numFmtId="0" fontId="24" fillId="15" borderId="89" xfId="0" applyFont="1" applyFill="1" applyBorder="1" applyAlignment="1">
      <alignment horizontal="center" vertical="center" wrapText="1"/>
    </xf>
    <xf numFmtId="0" fontId="24" fillId="15" borderId="67" xfId="0" applyFont="1" applyFill="1" applyBorder="1" applyAlignment="1">
      <alignment horizontal="center" vertical="center" wrapText="1"/>
    </xf>
    <xf numFmtId="0" fontId="24" fillId="15" borderId="68" xfId="0" applyFont="1" applyFill="1" applyBorder="1" applyAlignment="1">
      <alignment horizontal="center" vertical="center" wrapText="1"/>
    </xf>
    <xf numFmtId="0" fontId="24" fillId="15" borderId="71" xfId="0" applyFont="1" applyFill="1" applyBorder="1" applyAlignment="1">
      <alignment horizontal="center" vertical="center" wrapText="1"/>
    </xf>
    <xf numFmtId="0" fontId="24" fillId="15" borderId="3" xfId="0" applyFont="1" applyFill="1" applyBorder="1" applyAlignment="1">
      <alignment horizontal="center" vertical="center" wrapText="1"/>
    </xf>
    <xf numFmtId="0" fontId="24" fillId="15" borderId="72" xfId="0" applyFont="1" applyFill="1" applyBorder="1" applyAlignment="1">
      <alignment horizontal="center" vertical="center" wrapText="1"/>
    </xf>
    <xf numFmtId="0" fontId="24" fillId="15" borderId="73" xfId="0" applyFont="1" applyFill="1" applyBorder="1" applyAlignment="1">
      <alignment horizontal="center" vertical="center" wrapText="1"/>
    </xf>
    <xf numFmtId="0" fontId="24" fillId="15" borderId="70" xfId="0" applyFont="1" applyFill="1" applyBorder="1" applyAlignment="1">
      <alignment horizontal="center" vertical="center" wrapText="1"/>
    </xf>
    <xf numFmtId="0" fontId="24" fillId="15" borderId="32" xfId="0" applyFont="1" applyFill="1" applyBorder="1" applyAlignment="1">
      <alignment horizontal="center" vertical="center" wrapText="1"/>
    </xf>
    <xf numFmtId="166" fontId="38" fillId="6" borderId="70" xfId="0" applyNumberFormat="1" applyFont="1" applyFill="1" applyBorder="1" applyAlignment="1">
      <alignment horizontal="center"/>
    </xf>
    <xf numFmtId="166" fontId="26" fillId="9" borderId="93" xfId="0" applyNumberFormat="1" applyFont="1" applyFill="1" applyBorder="1" applyAlignment="1">
      <alignment horizontal="right" vertical="center"/>
    </xf>
    <xf numFmtId="166" fontId="26" fillId="9" borderId="76" xfId="0" applyNumberFormat="1" applyFont="1" applyFill="1" applyBorder="1" applyAlignment="1">
      <alignment horizontal="right" vertical="center"/>
    </xf>
    <xf numFmtId="166" fontId="2" fillId="21" borderId="41" xfId="0" applyNumberFormat="1" applyFont="1" applyFill="1" applyBorder="1" applyAlignment="1">
      <alignment horizontal="right" vertical="center" wrapText="1"/>
    </xf>
    <xf numFmtId="166" fontId="2" fillId="21" borderId="91" xfId="0" applyNumberFormat="1" applyFont="1" applyFill="1" applyBorder="1" applyAlignment="1">
      <alignment horizontal="right" vertical="center" wrapText="1"/>
    </xf>
    <xf numFmtId="166" fontId="2" fillId="22" borderId="42" xfId="0" applyNumberFormat="1" applyFont="1" applyFill="1" applyBorder="1" applyAlignment="1">
      <alignment horizontal="right" vertical="center" wrapText="1"/>
    </xf>
    <xf numFmtId="166" fontId="2" fillId="22" borderId="92" xfId="0" applyNumberFormat="1" applyFont="1" applyFill="1" applyBorder="1" applyAlignment="1">
      <alignment horizontal="right" vertical="center" wrapText="1"/>
    </xf>
    <xf numFmtId="0" fontId="32" fillId="17" borderId="60" xfId="0" applyFont="1" applyFill="1" applyBorder="1" applyAlignment="1">
      <alignment horizontal="center" vertical="center" wrapText="1"/>
    </xf>
    <xf numFmtId="0" fontId="32" fillId="17" borderId="61" xfId="0" applyFont="1" applyFill="1" applyBorder="1" applyAlignment="1">
      <alignment horizontal="center" vertical="center" wrapText="1"/>
    </xf>
    <xf numFmtId="0" fontId="32" fillId="17" borderId="62" xfId="0" applyFont="1" applyFill="1" applyBorder="1" applyAlignment="1">
      <alignment horizontal="center" vertical="center" wrapText="1"/>
    </xf>
    <xf numFmtId="0" fontId="27" fillId="8" borderId="3" xfId="0" applyFont="1" applyFill="1" applyBorder="1" applyAlignment="1">
      <alignment horizontal="center" vertical="center" wrapText="1"/>
    </xf>
    <xf numFmtId="0" fontId="16" fillId="6" borderId="60" xfId="0" applyFont="1" applyFill="1" applyBorder="1" applyAlignment="1">
      <alignment horizontal="left" vertical="center" wrapText="1"/>
    </xf>
    <xf numFmtId="0" fontId="9" fillId="6" borderId="61" xfId="0" applyFont="1" applyFill="1" applyBorder="1"/>
    <xf numFmtId="0" fontId="9" fillId="6" borderId="67" xfId="0" applyFont="1" applyFill="1" applyBorder="1"/>
    <xf numFmtId="0" fontId="9" fillId="6" borderId="62" xfId="0" applyFont="1" applyFill="1" applyBorder="1"/>
    <xf numFmtId="0" fontId="0" fillId="0" borderId="34" xfId="0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0" fillId="0" borderId="39" xfId="0" applyBorder="1" applyAlignment="1">
      <alignment horizontal="justify" vertical="center" wrapText="1"/>
    </xf>
    <xf numFmtId="0" fontId="0" fillId="0" borderId="76" xfId="0" applyBorder="1" applyAlignment="1">
      <alignment horizontal="justify" vertical="center" wrapText="1"/>
    </xf>
    <xf numFmtId="0" fontId="0" fillId="0" borderId="88" xfId="0" applyBorder="1" applyAlignment="1">
      <alignment horizontal="justify" vertical="center" wrapText="1"/>
    </xf>
    <xf numFmtId="0" fontId="28" fillId="0" borderId="0" xfId="0" applyFont="1" applyAlignment="1">
      <alignment horizontal="center" vertical="center" wrapText="1"/>
    </xf>
    <xf numFmtId="0" fontId="0" fillId="0" borderId="39" xfId="0" applyBorder="1" applyAlignment="1">
      <alignment horizontal="right" vertical="center" wrapText="1"/>
    </xf>
    <xf numFmtId="0" fontId="0" fillId="0" borderId="76" xfId="0" applyBorder="1" applyAlignment="1">
      <alignment horizontal="right" vertical="center" wrapText="1"/>
    </xf>
    <xf numFmtId="0" fontId="0" fillId="0" borderId="88" xfId="0" applyBorder="1" applyAlignment="1">
      <alignment horizontal="right" vertical="center" wrapText="1"/>
    </xf>
    <xf numFmtId="0" fontId="33" fillId="5" borderId="0" xfId="0" applyFont="1" applyFill="1" applyAlignment="1">
      <alignment horizontal="center" vertical="center" wrapText="1"/>
    </xf>
    <xf numFmtId="0" fontId="22" fillId="28" borderId="93" xfId="0" applyFont="1" applyFill="1" applyBorder="1" applyAlignment="1">
      <alignment horizontal="center" vertical="center"/>
    </xf>
    <xf numFmtId="0" fontId="22" fillId="28" borderId="76" xfId="0" applyFont="1" applyFill="1" applyBorder="1" applyAlignment="1">
      <alignment horizontal="center" vertical="center"/>
    </xf>
    <xf numFmtId="0" fontId="22" fillId="28" borderId="94" xfId="0" applyFont="1" applyFill="1" applyBorder="1" applyAlignment="1">
      <alignment horizontal="center" vertical="center"/>
    </xf>
    <xf numFmtId="166" fontId="16" fillId="6" borderId="3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6" fillId="0" borderId="3" xfId="0" applyNumberFormat="1" applyFont="1" applyBorder="1" applyAlignment="1">
      <alignment horizontal="left" wrapText="1"/>
    </xf>
    <xf numFmtId="2" fontId="2" fillId="0" borderId="60" xfId="0" applyNumberFormat="1" applyFont="1" applyBorder="1" applyAlignment="1">
      <alignment horizontal="center" vertical="center" wrapText="1"/>
    </xf>
    <xf numFmtId="2" fontId="2" fillId="0" borderId="61" xfId="0" applyNumberFormat="1" applyFont="1" applyBorder="1" applyAlignment="1">
      <alignment horizontal="center" vertical="center" wrapText="1"/>
    </xf>
    <xf numFmtId="2" fontId="2" fillId="0" borderId="62" xfId="0" applyNumberFormat="1" applyFont="1" applyBorder="1" applyAlignment="1">
      <alignment horizontal="center" vertical="center" wrapText="1"/>
    </xf>
    <xf numFmtId="0" fontId="32" fillId="17" borderId="67" xfId="0" applyFont="1" applyFill="1" applyBorder="1" applyAlignment="1">
      <alignment horizontal="center" vertical="center" wrapText="1"/>
    </xf>
    <xf numFmtId="0" fontId="32" fillId="17" borderId="68" xfId="0" applyFont="1" applyFill="1" applyBorder="1" applyAlignment="1">
      <alignment horizontal="center" vertical="center" wrapText="1"/>
    </xf>
    <xf numFmtId="0" fontId="32" fillId="14" borderId="60" xfId="0" applyFont="1" applyFill="1" applyBorder="1" applyAlignment="1">
      <alignment horizontal="center" vertical="center" wrapText="1"/>
    </xf>
    <xf numFmtId="0" fontId="32" fillId="14" borderId="61" xfId="0" applyFont="1" applyFill="1" applyBorder="1" applyAlignment="1">
      <alignment horizontal="center" vertical="center" wrapText="1"/>
    </xf>
    <xf numFmtId="0" fontId="32" fillId="14" borderId="62" xfId="0" applyFont="1" applyFill="1" applyBorder="1" applyAlignment="1">
      <alignment horizontal="center" vertical="center" wrapText="1"/>
    </xf>
    <xf numFmtId="0" fontId="32" fillId="4" borderId="61" xfId="0" applyFont="1" applyFill="1" applyBorder="1" applyAlignment="1">
      <alignment horizontal="center" vertical="center" wrapText="1"/>
    </xf>
    <xf numFmtId="0" fontId="32" fillId="4" borderId="62" xfId="0" applyFont="1" applyFill="1" applyBorder="1" applyAlignment="1">
      <alignment horizontal="center" vertical="center" wrapText="1"/>
    </xf>
    <xf numFmtId="0" fontId="32" fillId="18" borderId="60" xfId="0" applyFont="1" applyFill="1" applyBorder="1" applyAlignment="1">
      <alignment horizontal="center" vertical="center" wrapText="1"/>
    </xf>
    <xf numFmtId="0" fontId="32" fillId="18" borderId="67" xfId="0" applyFont="1" applyFill="1" applyBorder="1" applyAlignment="1">
      <alignment horizontal="center" vertical="center" wrapText="1"/>
    </xf>
    <xf numFmtId="0" fontId="32" fillId="18" borderId="61" xfId="0" applyFont="1" applyFill="1" applyBorder="1" applyAlignment="1">
      <alignment horizontal="center" vertical="center" wrapText="1"/>
    </xf>
    <xf numFmtId="0" fontId="32" fillId="18" borderId="62" xfId="0" applyFont="1" applyFill="1" applyBorder="1" applyAlignment="1">
      <alignment horizontal="center" vertical="center" wrapText="1"/>
    </xf>
    <xf numFmtId="0" fontId="32" fillId="7" borderId="60" xfId="0" applyFont="1" applyFill="1" applyBorder="1" applyAlignment="1">
      <alignment horizontal="center" vertical="center" wrapText="1"/>
    </xf>
    <xf numFmtId="0" fontId="32" fillId="7" borderId="61" xfId="0" applyFont="1" applyFill="1" applyBorder="1" applyAlignment="1">
      <alignment horizontal="center" vertical="center" wrapText="1"/>
    </xf>
    <xf numFmtId="0" fontId="32" fillId="7" borderId="62" xfId="0" applyFont="1" applyFill="1" applyBorder="1" applyAlignment="1">
      <alignment horizontal="center" vertical="center" wrapText="1"/>
    </xf>
    <xf numFmtId="166" fontId="2" fillId="9" borderId="67" xfId="0" applyNumberFormat="1" applyFont="1" applyFill="1" applyBorder="1" applyAlignment="1">
      <alignment horizontal="center" vertical="center" wrapText="1"/>
    </xf>
    <xf numFmtId="166" fontId="2" fillId="9" borderId="68" xfId="0" applyNumberFormat="1" applyFont="1" applyFill="1" applyBorder="1" applyAlignment="1">
      <alignment horizontal="center" vertical="center" wrapText="1"/>
    </xf>
    <xf numFmtId="166" fontId="2" fillId="9" borderId="3" xfId="0" applyNumberFormat="1" applyFont="1" applyFill="1" applyBorder="1" applyAlignment="1">
      <alignment horizontal="center" vertical="center" wrapText="1"/>
    </xf>
    <xf numFmtId="166" fontId="2" fillId="9" borderId="72" xfId="0" applyNumberFormat="1" applyFont="1" applyFill="1" applyBorder="1" applyAlignment="1">
      <alignment horizontal="center" vertical="center" wrapText="1"/>
    </xf>
    <xf numFmtId="166" fontId="2" fillId="9" borderId="70" xfId="0" applyNumberFormat="1" applyFont="1" applyFill="1" applyBorder="1" applyAlignment="1">
      <alignment horizontal="center" vertical="center" wrapText="1"/>
    </xf>
    <xf numFmtId="166" fontId="2" fillId="9" borderId="32" xfId="0" applyNumberFormat="1" applyFont="1" applyFill="1" applyBorder="1" applyAlignment="1">
      <alignment horizontal="center" vertical="center" wrapText="1"/>
    </xf>
    <xf numFmtId="0" fontId="11" fillId="4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 wrapText="1"/>
    </xf>
    <xf numFmtId="0" fontId="9" fillId="6" borderId="0" xfId="0" applyFont="1" applyFill="1"/>
    <xf numFmtId="0" fontId="8" fillId="0" borderId="0" xfId="0" applyFont="1" applyAlignment="1">
      <alignment horizontal="center"/>
    </xf>
    <xf numFmtId="0" fontId="9" fillId="6" borderId="3" xfId="0" applyFont="1" applyFill="1" applyBorder="1"/>
    <xf numFmtId="0" fontId="1" fillId="6" borderId="9" xfId="0" applyFont="1" applyFill="1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18" fillId="0" borderId="12" xfId="0" applyFont="1" applyBorder="1" applyAlignment="1">
      <alignment horizontal="left" vertical="center" wrapText="1"/>
    </xf>
    <xf numFmtId="0" fontId="18" fillId="0" borderId="14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/>
    <xf numFmtId="0" fontId="18" fillId="0" borderId="19" xfId="0" applyFont="1" applyBorder="1" applyAlignment="1">
      <alignment horizontal="center" vertical="center" wrapText="1"/>
    </xf>
    <xf numFmtId="0" fontId="32" fillId="4" borderId="60" xfId="0" applyFont="1" applyFill="1" applyBorder="1" applyAlignment="1">
      <alignment horizontal="center" vertical="center" wrapText="1"/>
    </xf>
    <xf numFmtId="166" fontId="26" fillId="9" borderId="93" xfId="0" applyNumberFormat="1" applyFont="1" applyFill="1" applyBorder="1" applyAlignment="1">
      <alignment horizontal="right"/>
    </xf>
    <xf numFmtId="166" fontId="26" fillId="9" borderId="76" xfId="0" applyNumberFormat="1" applyFont="1" applyFill="1" applyBorder="1" applyAlignment="1">
      <alignment horizontal="right"/>
    </xf>
    <xf numFmtId="166" fontId="26" fillId="9" borderId="94" xfId="0" applyNumberFormat="1" applyFont="1" applyFill="1" applyBorder="1" applyAlignment="1">
      <alignment horizontal="right"/>
    </xf>
    <xf numFmtId="166" fontId="2" fillId="21" borderId="95" xfId="0" applyNumberFormat="1" applyFont="1" applyFill="1" applyBorder="1" applyAlignment="1">
      <alignment horizontal="right" vertical="center" wrapText="1"/>
    </xf>
    <xf numFmtId="166" fontId="2" fillId="22" borderId="96" xfId="0" applyNumberFormat="1" applyFont="1" applyFill="1" applyBorder="1" applyAlignment="1">
      <alignment horizontal="right" vertical="center" wrapText="1"/>
    </xf>
    <xf numFmtId="0" fontId="32" fillId="17" borderId="89" xfId="0" applyFont="1" applyFill="1" applyBorder="1" applyAlignment="1">
      <alignment horizontal="center" vertical="center" wrapText="1"/>
    </xf>
    <xf numFmtId="0" fontId="33" fillId="5" borderId="0" xfId="0" applyFont="1" applyFill="1" applyAlignment="1">
      <alignment horizontal="left" vertical="center" wrapText="1"/>
    </xf>
    <xf numFmtId="0" fontId="34" fillId="5" borderId="0" xfId="0" applyFont="1" applyFill="1"/>
    <xf numFmtId="0" fontId="64" fillId="26" borderId="129" xfId="0" applyFont="1" applyFill="1" applyBorder="1" applyAlignment="1">
      <alignment horizontal="center" vertical="center" wrapText="1"/>
    </xf>
    <xf numFmtId="0" fontId="64" fillId="26" borderId="130" xfId="0" applyFont="1" applyFill="1" applyBorder="1" applyAlignment="1">
      <alignment horizontal="center" vertical="center" wrapText="1"/>
    </xf>
    <xf numFmtId="0" fontId="64" fillId="26" borderId="117" xfId="0" applyFont="1" applyFill="1" applyBorder="1" applyAlignment="1">
      <alignment horizontal="center" vertical="center" wrapText="1"/>
    </xf>
    <xf numFmtId="0" fontId="64" fillId="26" borderId="131" xfId="0" applyFont="1" applyFill="1" applyBorder="1" applyAlignment="1">
      <alignment horizontal="center" vertical="center" wrapText="1"/>
    </xf>
    <xf numFmtId="0" fontId="64" fillId="26" borderId="123" xfId="0" applyFont="1" applyFill="1" applyBorder="1" applyAlignment="1">
      <alignment horizontal="center" vertical="center" wrapText="1"/>
    </xf>
    <xf numFmtId="0" fontId="64" fillId="26" borderId="125" xfId="0" applyFont="1" applyFill="1" applyBorder="1" applyAlignment="1">
      <alignment horizontal="center" vertical="center" wrapText="1"/>
    </xf>
    <xf numFmtId="0" fontId="68" fillId="31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10" fontId="9" fillId="0" borderId="0" xfId="0" applyNumberFormat="1" applyFont="1" applyAlignment="1">
      <alignment horizontal="center"/>
    </xf>
    <xf numFmtId="0" fontId="72" fillId="0" borderId="0" xfId="0" applyFont="1" applyAlignment="1">
      <alignment horizontal="center"/>
    </xf>
    <xf numFmtId="10" fontId="72" fillId="0" borderId="0" xfId="0" applyNumberFormat="1" applyFont="1" applyAlignment="1">
      <alignment horizontal="center"/>
    </xf>
    <xf numFmtId="0" fontId="64" fillId="26" borderId="133" xfId="0" applyFont="1" applyFill="1" applyBorder="1" applyAlignment="1">
      <alignment horizontal="center" vertical="center" wrapText="1"/>
    </xf>
    <xf numFmtId="165" fontId="20" fillId="8" borderId="50" xfId="0" applyNumberFormat="1" applyFont="1" applyFill="1" applyBorder="1" applyAlignment="1">
      <alignment horizontal="center" vertical="center" wrapText="1"/>
    </xf>
    <xf numFmtId="165" fontId="20" fillId="8" borderId="132" xfId="0" applyNumberFormat="1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20" fillId="16" borderId="44" xfId="0" applyNumberFormat="1" applyFont="1" applyFill="1" applyBorder="1" applyAlignment="1">
      <alignment horizontal="center" vertical="center" wrapText="1"/>
    </xf>
    <xf numFmtId="165" fontId="20" fillId="16" borderId="87" xfId="0" applyNumberFormat="1" applyFont="1" applyFill="1" applyBorder="1" applyAlignment="1">
      <alignment horizontal="center" vertical="center" wrapText="1"/>
    </xf>
    <xf numFmtId="165" fontId="20" fillId="16" borderId="32" xfId="0" applyNumberFormat="1" applyFont="1" applyFill="1" applyBorder="1" applyAlignment="1">
      <alignment horizontal="center" vertical="center" wrapText="1"/>
    </xf>
    <xf numFmtId="0" fontId="2" fillId="3" borderId="62" xfId="0" applyFont="1" applyFill="1" applyBorder="1" applyAlignment="1">
      <alignment horizontal="center" vertical="center" wrapText="1"/>
    </xf>
    <xf numFmtId="0" fontId="2" fillId="9" borderId="54" xfId="0" applyFont="1" applyFill="1" applyBorder="1" applyAlignment="1">
      <alignment horizontal="center" vertical="center" wrapText="1"/>
    </xf>
    <xf numFmtId="164" fontId="26" fillId="0" borderId="4" xfId="0" applyNumberFormat="1" applyFont="1" applyBorder="1" applyAlignment="1">
      <alignment horizontal="center" vertical="center"/>
    </xf>
    <xf numFmtId="164" fontId="18" fillId="0" borderId="4" xfId="0" applyNumberFormat="1" applyFont="1" applyBorder="1" applyAlignment="1">
      <alignment horizontal="center" vertical="center"/>
    </xf>
    <xf numFmtId="16" fontId="0" fillId="0" borderId="0" xfId="0" applyNumberFormat="1" applyAlignment="1">
      <alignment horizontal="right" vertical="center"/>
    </xf>
    <xf numFmtId="0" fontId="2" fillId="34" borderId="48" xfId="0" applyFont="1" applyFill="1" applyBorder="1" applyAlignment="1">
      <alignment horizontal="center" vertical="center" wrapText="1"/>
    </xf>
    <xf numFmtId="0" fontId="2" fillId="34" borderId="39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/>
    </xf>
    <xf numFmtId="0" fontId="2" fillId="34" borderId="104" xfId="0" applyFont="1" applyFill="1" applyBorder="1" applyAlignment="1">
      <alignment horizontal="center" vertical="center" wrapText="1"/>
    </xf>
    <xf numFmtId="166" fontId="26" fillId="15" borderId="97" xfId="0" applyNumberFormat="1" applyFont="1" applyFill="1" applyBorder="1" applyAlignment="1">
      <alignment horizontal="center" vertical="center" wrapText="1"/>
    </xf>
    <xf numFmtId="10" fontId="20" fillId="23" borderId="1" xfId="5" applyNumberFormat="1" applyFont="1" applyFill="1" applyBorder="1" applyAlignment="1">
      <alignment horizontal="center" vertical="center" wrapText="1"/>
    </xf>
    <xf numFmtId="182" fontId="0" fillId="0" borderId="0" xfId="5" applyNumberFormat="1" applyFont="1"/>
    <xf numFmtId="10" fontId="31" fillId="0" borderId="0" xfId="5" applyNumberFormat="1" applyFont="1" applyAlignment="1">
      <alignment horizontal="center" vertical="center" wrapText="1"/>
    </xf>
    <xf numFmtId="2" fontId="35" fillId="0" borderId="17" xfId="0" applyNumberFormat="1" applyFont="1" applyBorder="1" applyAlignment="1">
      <alignment horizontal="center" vertical="center" wrapText="1"/>
    </xf>
    <xf numFmtId="10" fontId="20" fillId="8" borderId="1" xfId="5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 wrapText="1"/>
    </xf>
    <xf numFmtId="10" fontId="20" fillId="0" borderId="1" xfId="5" applyNumberFormat="1" applyFont="1" applyBorder="1" applyAlignment="1">
      <alignment horizontal="center" vertical="center" wrapText="1"/>
    </xf>
    <xf numFmtId="10" fontId="20" fillId="3" borderId="1" xfId="5" applyNumberFormat="1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</cellXfs>
  <cellStyles count="13">
    <cellStyle name="Hyperlink" xfId="11" builtinId="8"/>
    <cellStyle name="Normal" xfId="0" builtinId="0"/>
    <cellStyle name="Normal 2" xfId="1" xr:uid="{4BB5F4CF-11ED-46C1-AEAE-3B906EB96F80}"/>
    <cellStyle name="Normal 3" xfId="2" xr:uid="{2DE8AF42-D282-476B-9351-F172417081AB}"/>
    <cellStyle name="Normal 4" xfId="3" xr:uid="{97C8EC31-E20F-4841-8F4C-E5FC13B136E3}"/>
    <cellStyle name="Normal 5" xfId="4" xr:uid="{8B359C99-4159-4509-92E9-17D156EFA814}"/>
    <cellStyle name="Normal 6" xfId="6" xr:uid="{22D678B3-6008-4169-9175-38E617F0426F}"/>
    <cellStyle name="Normal 7" xfId="8" xr:uid="{3462A600-721B-4A8C-9CBB-C0880ECFAF70}"/>
    <cellStyle name="Normal 8" xfId="10" xr:uid="{AE9B88C0-96E5-43A7-AD6C-B996BB08C18D}"/>
    <cellStyle name="Normal 9" xfId="12" xr:uid="{905FE620-F358-494F-AD41-749D83680A73}"/>
    <cellStyle name="Normal_Resultados da Simulação" xfId="7" xr:uid="{9C4DAD14-15DC-499F-B345-A7C15BC700E2}"/>
    <cellStyle name="Percent" xfId="5" builtinId="5"/>
    <cellStyle name="Percent 2" xfId="9" xr:uid="{D3434B1F-2654-498D-A0B8-9CE689679E61}"/>
  </cellStyles>
  <dxfs count="32"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 patternType="solid">
          <fgColor rgb="FFFFE699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8CBAD"/>
        </patternFill>
      </fill>
    </dxf>
    <dxf>
      <fill>
        <patternFill patternType="solid">
          <fgColor rgb="FFF8CBAD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solid">
          <fgColor rgb="FFFFC000"/>
        </patternFill>
      </fill>
    </dxf>
    <dxf>
      <fill>
        <patternFill patternType="solid">
          <fgColor rgb="FFFFC000"/>
        </pattern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C1 vs</a:t>
            </a:r>
            <a:r>
              <a:rPr lang="en-US" baseline="0"/>
              <a:t> GOR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'2-Composition_Table_PVT'!$C$3:$W$3</c:f>
              <c:numCache>
                <c:formatCode>General</c:formatCode>
                <c:ptCount val="21"/>
                <c:pt idx="8" formatCode="0">
                  <c:v>417.4</c:v>
                </c:pt>
                <c:pt idx="9" formatCode="0">
                  <c:v>442</c:v>
                </c:pt>
                <c:pt idx="10" formatCode="0">
                  <c:v>490.9</c:v>
                </c:pt>
                <c:pt idx="11" formatCode="0">
                  <c:v>588.29999999999995</c:v>
                </c:pt>
                <c:pt idx="12" formatCode="0">
                  <c:v>686.1</c:v>
                </c:pt>
                <c:pt idx="13" formatCode="0">
                  <c:v>784.4</c:v>
                </c:pt>
                <c:pt idx="14" formatCode="0">
                  <c:v>883.3</c:v>
                </c:pt>
                <c:pt idx="15" formatCode="0">
                  <c:v>1129.0999999999999</c:v>
                </c:pt>
                <c:pt idx="16" formatCode="0">
                  <c:v>1378.8</c:v>
                </c:pt>
                <c:pt idx="17" formatCode="0">
                  <c:v>1874.7</c:v>
                </c:pt>
                <c:pt idx="18" formatCode="0">
                  <c:v>2888.9</c:v>
                </c:pt>
                <c:pt idx="19" formatCode="0">
                  <c:v>5376.5</c:v>
                </c:pt>
                <c:pt idx="20" formatCode="#,##0">
                  <c:v>57730.2</c:v>
                </c:pt>
              </c:numCache>
            </c:numRef>
          </c:xVal>
          <c:yVal>
            <c:numRef>
              <c:f>'2-Composition_Table_PVT'!$C$10:$W$10</c:f>
              <c:numCache>
                <c:formatCode>0.000</c:formatCode>
                <c:ptCount val="21"/>
                <c:pt idx="0">
                  <c:v>0.57537671621584197</c:v>
                </c:pt>
                <c:pt idx="1">
                  <c:v>0.58472475428271398</c:v>
                </c:pt>
                <c:pt idx="2">
                  <c:v>0.60498445439353699</c:v>
                </c:pt>
                <c:pt idx="3">
                  <c:v>0.60590525352804703</c:v>
                </c:pt>
                <c:pt idx="4">
                  <c:v>0.60690242760971003</c:v>
                </c:pt>
                <c:pt idx="5">
                  <c:v>0.60956680774688698</c:v>
                </c:pt>
                <c:pt idx="6">
                  <c:v>0.61217886209487904</c:v>
                </c:pt>
                <c:pt idx="7">
                  <c:v>0.61474025249481201</c:v>
                </c:pt>
                <c:pt idx="8">
                  <c:v>65.082717895507798</c:v>
                </c:pt>
                <c:pt idx="9">
                  <c:v>65.743141174316406</c:v>
                </c:pt>
                <c:pt idx="10">
                  <c:v>66.898880004882798</c:v>
                </c:pt>
                <c:pt idx="11">
                  <c:v>68.715042114257798</c:v>
                </c:pt>
                <c:pt idx="12">
                  <c:v>70.077156066894503</c:v>
                </c:pt>
                <c:pt idx="13">
                  <c:v>71.136589050292898</c:v>
                </c:pt>
                <c:pt idx="14">
                  <c:v>71.984123229980497</c:v>
                </c:pt>
                <c:pt idx="15">
                  <c:v>73.509704589843693</c:v>
                </c:pt>
                <c:pt idx="16">
                  <c:v>74.526748657226506</c:v>
                </c:pt>
                <c:pt idx="17">
                  <c:v>75.798065185546804</c:v>
                </c:pt>
                <c:pt idx="18">
                  <c:v>77.069381713867102</c:v>
                </c:pt>
                <c:pt idx="19">
                  <c:v>78.225112915039105</c:v>
                </c:pt>
                <c:pt idx="20">
                  <c:v>79.460952758789105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06-4AED-83B6-B4075FBC6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89944"/>
        <c:axId val="800296064"/>
      </c:scatterChart>
      <c:valAx>
        <c:axId val="800289944"/>
        <c:scaling>
          <c:orientation val="minMax"/>
          <c:max val="800"/>
          <c:min val="3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GOR, Sm3/Sm3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96064"/>
        <c:crosses val="autoZero"/>
        <c:crossBetween val="midCat"/>
        <c:majorUnit val="40"/>
      </c:valAx>
      <c:valAx>
        <c:axId val="800296064"/>
        <c:scaling>
          <c:orientation val="minMax"/>
          <c:max val="72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C1, mol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ocumenttasks/documenttask1.xml><?xml version="1.0" encoding="utf-8"?>
<Tasks xmlns="http://schemas.microsoft.com/office/tasks/2019/documenttasks">
  <Task id="{4CF0B81E-5561-4E89-ADC3-FBAB861B4EA2}">
    <Anchor>
      <Comment id="{4D49D048-1281-411C-8EA6-7C4B48350CFC}"/>
    </Anchor>
    <History>
      <Event time="2026-01-26T18:57:28.40" id="{0ABA000E-8D66-47B9-A089-2692035DFEDA}">
        <Attribution userId="S::TROME@equinor.com::007a071c-177e-44fc-80d1-d9ea7e99ac9a" userName="Thiago Romeiro" userProvider="AD"/>
        <Anchor>
          <Comment id="{4D49D048-1281-411C-8EA6-7C4B48350CFC}"/>
        </Anchor>
        <Create/>
      </Event>
      <Event time="2026-01-26T18:57:28.40" id="{3E856E45-17D8-4F19-BB7E-C2529074E5C3}">
        <Attribution userId="S::TROME@equinor.com::007a071c-177e-44fc-80d1-d9ea7e99ac9a" userName="Thiago Romeiro" userProvider="AD"/>
        <Anchor>
          <Comment id="{4D49D048-1281-411C-8EA6-7C4B48350CFC}"/>
        </Anchor>
        <Assign userId="S::MAUAM@equinor.com::1a352242-a160-428d-8299-65cd3b23ae50" userName="Mauricio Anízio de Amorim (Swift Technical Serv Tec Espec)" userProvider="AD"/>
      </Event>
      <Event time="2026-01-26T18:57:28.40" id="{9BCC34B4-AECA-41E2-BED3-E21B7EBD9AB4}">
        <Attribution userId="S::TROME@equinor.com::007a071c-177e-44fc-80d1-d9ea7e99ac9a" userName="Thiago Romeiro" userProvider="AD"/>
        <Anchor>
          <Comment id="{4D49D048-1281-411C-8EA6-7C4B48350CFC}"/>
        </Anchor>
        <SetTitle title="@Mauricio Anízio de Amorim (Swift Technical Serv Tec Espec) não devemos normalizar essa parte de cima não. Entendo que deveria ir até c10+ e que o valor apresentado já seria normalizado"/>
      </Event>
    </History>
  </Task>
</Task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image" Target="../media/image10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187779</xdr:colOff>
      <xdr:row>0</xdr:row>
      <xdr:rowOff>54429</xdr:rowOff>
    </xdr:from>
    <xdr:to>
      <xdr:col>0</xdr:col>
      <xdr:colOff>1845129</xdr:colOff>
      <xdr:row>0</xdr:row>
      <xdr:rowOff>590540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4A1E5F76-6D65-4BDA-91FD-24C4A69F55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187779" y="54429"/>
          <a:ext cx="1657350" cy="5361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13</xdr:col>
      <xdr:colOff>0</xdr:colOff>
      <xdr:row>119</xdr:row>
      <xdr:rowOff>0</xdr:rowOff>
    </xdr:from>
    <xdr:to>
      <xdr:col>30</xdr:col>
      <xdr:colOff>592078</xdr:colOff>
      <xdr:row>167</xdr:row>
      <xdr:rowOff>77487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8E586FB-4047-A7F3-89A8-35E6537FA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288250" y="23690036"/>
          <a:ext cx="10955279" cy="92214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0</xdr:rowOff>
    </xdr:from>
    <xdr:to>
      <xdr:col>0</xdr:col>
      <xdr:colOff>2167890</xdr:colOff>
      <xdr:row>0</xdr:row>
      <xdr:rowOff>538016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893CD2AE-5163-4D35-A43A-CE1897D1E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95300" y="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400050</xdr:colOff>
      <xdr:row>11</xdr:row>
      <xdr:rowOff>57150</xdr:rowOff>
    </xdr:from>
    <xdr:to>
      <xdr:col>34</xdr:col>
      <xdr:colOff>571500</xdr:colOff>
      <xdr:row>33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DD5D68-622B-4184-AB8C-082E612DD9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19050</xdr:colOff>
      <xdr:row>0</xdr:row>
      <xdr:rowOff>85725</xdr:rowOff>
    </xdr:from>
    <xdr:to>
      <xdr:col>0</xdr:col>
      <xdr:colOff>1209675</xdr:colOff>
      <xdr:row>0</xdr:row>
      <xdr:rowOff>468709</xdr:rowOff>
    </xdr:to>
    <xdr:pic>
      <xdr:nvPicPr>
        <xdr:cNvPr id="4" name="/xl/media/image1.png">
          <a:extLst>
            <a:ext uri="{FF2B5EF4-FFF2-40B4-BE49-F238E27FC236}">
              <a16:creationId xmlns:a16="http://schemas.microsoft.com/office/drawing/2014/main" id="{628407D5-3D9B-4EEA-BA41-DEEF80329A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69" b="16980"/>
        <a:stretch>
          <a:fillRect/>
        </a:stretch>
      </xdr:blipFill>
      <xdr:spPr>
        <a:xfrm>
          <a:off x="19050" y="85725"/>
          <a:ext cx="1190625" cy="382984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76200</xdr:rowOff>
    </xdr:from>
    <xdr:to>
      <xdr:col>0</xdr:col>
      <xdr:colOff>1844040</xdr:colOff>
      <xdr:row>0</xdr:row>
      <xdr:rowOff>614216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ACE5FCD2-7504-4C70-9213-5F2F91516A7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171450" y="76200"/>
          <a:ext cx="1672590" cy="5380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9525</xdr:colOff>
      <xdr:row>12</xdr:row>
      <xdr:rowOff>28575</xdr:rowOff>
    </xdr:from>
    <xdr:to>
      <xdr:col>3</xdr:col>
      <xdr:colOff>1149350</xdr:colOff>
      <xdr:row>15</xdr:row>
      <xdr:rowOff>17192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63BCBAE-B4A7-4A11-B8CC-03B919327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2933700"/>
          <a:ext cx="6378575" cy="10649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72058</xdr:colOff>
      <xdr:row>0</xdr:row>
      <xdr:rowOff>115957</xdr:rowOff>
    </xdr:from>
    <xdr:to>
      <xdr:col>0</xdr:col>
      <xdr:colOff>1457738</xdr:colOff>
      <xdr:row>0</xdr:row>
      <xdr:rowOff>514824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2B2CBCC4-840F-402B-863C-A78B943961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72058" y="115957"/>
          <a:ext cx="1385680" cy="398867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40821</xdr:colOff>
      <xdr:row>0</xdr:row>
      <xdr:rowOff>38100</xdr:rowOff>
    </xdr:from>
    <xdr:to>
      <xdr:col>2</xdr:col>
      <xdr:colOff>24824</xdr:colOff>
      <xdr:row>0</xdr:row>
      <xdr:rowOff>574211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CD981E1F-3D62-49BC-9498-80C10FB8BB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0821" y="38100"/>
          <a:ext cx="1761785" cy="5361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21</xdr:col>
      <xdr:colOff>903019</xdr:colOff>
      <xdr:row>58</xdr:row>
      <xdr:rowOff>371103</xdr:rowOff>
    </xdr:from>
    <xdr:to>
      <xdr:col>29</xdr:col>
      <xdr:colOff>420652</xdr:colOff>
      <xdr:row>68</xdr:row>
      <xdr:rowOff>290442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AD6AC-8B69-03A1-6F96-55F435E5B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785779" y="18443863"/>
          <a:ext cx="7582958" cy="4372585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22</xdr:col>
      <xdr:colOff>0</xdr:colOff>
      <xdr:row>70</xdr:row>
      <xdr:rowOff>0</xdr:rowOff>
    </xdr:from>
    <xdr:to>
      <xdr:col>30</xdr:col>
      <xdr:colOff>64332</xdr:colOff>
      <xdr:row>81</xdr:row>
      <xdr:rowOff>510142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4B93EA-78C4-9AA7-FF83-F1601B79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958961" y="23416656"/>
          <a:ext cx="8030696" cy="6182588"/>
        </a:xfrm>
        <a:prstGeom prst="rect">
          <a:avLst/>
        </a:prstGeom>
      </xdr:spPr>
    </xdr:pic>
    <xdr:clientData/>
  </xdr:twoCellAnchor>
  <xdr:twoCellAnchor editAs="oneCell">
    <xdr:from>
      <xdr:col>30</xdr:col>
      <xdr:colOff>235032</xdr:colOff>
      <xdr:row>58</xdr:row>
      <xdr:rowOff>395843</xdr:rowOff>
    </xdr:from>
    <xdr:to>
      <xdr:col>37</xdr:col>
      <xdr:colOff>1037028</xdr:colOff>
      <xdr:row>72</xdr:row>
      <xdr:rowOff>372465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937CC61-AE3D-2ACB-ACA3-3A08FC715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160357" y="18468603"/>
          <a:ext cx="7382905" cy="6211167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390525</xdr:colOff>
      <xdr:row>0</xdr:row>
      <xdr:rowOff>28575</xdr:rowOff>
    </xdr:from>
    <xdr:to>
      <xdr:col>0</xdr:col>
      <xdr:colOff>2053590</xdr:colOff>
      <xdr:row>0</xdr:row>
      <xdr:rowOff>570401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D6355AFA-5CBC-4542-986B-4501EEF375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390525" y="28575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15</xdr:col>
      <xdr:colOff>361950</xdr:colOff>
      <xdr:row>18</xdr:row>
      <xdr:rowOff>285750</xdr:rowOff>
    </xdr:from>
    <xdr:to>
      <xdr:col>28</xdr:col>
      <xdr:colOff>352425</xdr:colOff>
      <xdr:row>30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4FBDB6-8E37-4F2A-1CF4-5FC6154669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11950" y="4505325"/>
          <a:ext cx="7915275" cy="2924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482098</xdr:colOff>
      <xdr:row>7</xdr:row>
      <xdr:rowOff>5514</xdr:rowOff>
    </xdr:from>
    <xdr:to>
      <xdr:col>28</xdr:col>
      <xdr:colOff>296969</xdr:colOff>
      <xdr:row>15</xdr:row>
      <xdr:rowOff>138678</xdr:rowOff>
    </xdr:to>
    <xdr:pic>
      <xdr:nvPicPr>
        <xdr:cNvPr id="8" name="Picture 4">
          <a:extLst>
            <a:ext uri="{FF2B5EF4-FFF2-40B4-BE49-F238E27FC236}">
              <a16:creationId xmlns:a16="http://schemas.microsoft.com/office/drawing/2014/main" id="{614C5A5D-50A0-68DC-60E6-BB18022A5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532098" y="2091489"/>
          <a:ext cx="7739671" cy="1695264"/>
        </a:xfrm>
        <a:prstGeom prst="rect">
          <a:avLst/>
        </a:prstGeom>
      </xdr:spPr>
    </xdr:pic>
    <xdr:clientData/>
  </xdr:twoCellAnchor>
  <xdr:twoCellAnchor editAs="oneCell">
    <xdr:from>
      <xdr:col>15</xdr:col>
      <xdr:colOff>317666</xdr:colOff>
      <xdr:row>33</xdr:row>
      <xdr:rowOff>51468</xdr:rowOff>
    </xdr:from>
    <xdr:to>
      <xdr:col>31</xdr:col>
      <xdr:colOff>566107</xdr:colOff>
      <xdr:row>51</xdr:row>
      <xdr:rowOff>74613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4490956E-1BD9-F8D3-1355-363814053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67666" y="8042943"/>
          <a:ext cx="10002041" cy="230914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38100</xdr:rowOff>
    </xdr:from>
    <xdr:to>
      <xdr:col>1</xdr:col>
      <xdr:colOff>186167</xdr:colOff>
      <xdr:row>0</xdr:row>
      <xdr:rowOff>574846</xdr:rowOff>
    </xdr:to>
    <xdr:pic>
      <xdr:nvPicPr>
        <xdr:cNvPr id="3" name="/xl/media/image1.png">
          <a:extLst>
            <a:ext uri="{FF2B5EF4-FFF2-40B4-BE49-F238E27FC236}">
              <a16:creationId xmlns:a16="http://schemas.microsoft.com/office/drawing/2014/main" id="{68E30B8C-2DFA-4172-B091-783EC3F4B5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142875" y="38100"/>
          <a:ext cx="1657350" cy="541826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40821</xdr:colOff>
      <xdr:row>0</xdr:row>
      <xdr:rowOff>38100</xdr:rowOff>
    </xdr:from>
    <xdr:to>
      <xdr:col>0</xdr:col>
      <xdr:colOff>1785681</xdr:colOff>
      <xdr:row>0</xdr:row>
      <xdr:rowOff>574211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9A0B2326-44A9-49A2-A389-C063E726FF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0821" y="38100"/>
          <a:ext cx="1744860" cy="5361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381001</xdr:colOff>
      <xdr:row>40</xdr:row>
      <xdr:rowOff>141392</xdr:rowOff>
    </xdr:from>
    <xdr:to>
      <xdr:col>18</xdr:col>
      <xdr:colOff>1016414</xdr:colOff>
      <xdr:row>51</xdr:row>
      <xdr:rowOff>71308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276311-49FA-E939-BC4F-D102EA4B7B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10301" y="13730392"/>
          <a:ext cx="14122400" cy="4857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49646</xdr:colOff>
      <xdr:row>62</xdr:row>
      <xdr:rowOff>420475</xdr:rowOff>
    </xdr:from>
    <xdr:to>
      <xdr:col>41</xdr:col>
      <xdr:colOff>501876</xdr:colOff>
      <xdr:row>68</xdr:row>
      <xdr:rowOff>125558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30FC628-A136-EED3-18BB-F03274E9E7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10782" y="24284930"/>
          <a:ext cx="20039094" cy="24067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40821</xdr:colOff>
      <xdr:row>0</xdr:row>
      <xdr:rowOff>38100</xdr:rowOff>
    </xdr:from>
    <xdr:to>
      <xdr:col>0</xdr:col>
      <xdr:colOff>1785681</xdr:colOff>
      <xdr:row>0</xdr:row>
      <xdr:rowOff>574211</xdr:rowOff>
    </xdr:to>
    <xdr:pic>
      <xdr:nvPicPr>
        <xdr:cNvPr id="2" name="/xl/media/image1.png">
          <a:extLst>
            <a:ext uri="{FF2B5EF4-FFF2-40B4-BE49-F238E27FC236}">
              <a16:creationId xmlns:a16="http://schemas.microsoft.com/office/drawing/2014/main" id="{F9BD0760-EFF3-42F1-85CE-8F5559E50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69" b="16980"/>
        <a:stretch>
          <a:fillRect/>
        </a:stretch>
      </xdr:blipFill>
      <xdr:spPr>
        <a:xfrm>
          <a:off x="40821" y="38100"/>
          <a:ext cx="1749716" cy="5361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</xdr:col>
      <xdr:colOff>546101</xdr:colOff>
      <xdr:row>40</xdr:row>
      <xdr:rowOff>139700</xdr:rowOff>
    </xdr:from>
    <xdr:to>
      <xdr:col>25</xdr:col>
      <xdr:colOff>596900</xdr:colOff>
      <xdr:row>51</xdr:row>
      <xdr:rowOff>245782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5CFD08F-CB88-F73B-9A62-93350F89D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57901" y="13728700"/>
          <a:ext cx="9512300" cy="503368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uricio Anízio de Amorim (Swift Technical Serv Tec Espec)" id="{715C5B9F-30B7-40CD-A9D7-355CC112E3A1}" userId="MAUAM@equinor.com" providerId="PeoplePicker"/>
  <person displayName="Mauricio Anízio de Amorim (Swift Technical Serv Tec Espec)" id="{80B640BC-83A4-4142-BE7F-47B344F9C527}" userId="S::MAUAM@equinor.com::1a352242-a160-428d-8299-65cd3b23ae50" providerId="AD"/>
  <person displayName="Thiago Romeiro" id="{FDB103AF-BA8A-4F78-8C14-FD47C0D8D200}" userId="S::TROME@equinor.com::007a071c-177e-44fc-80d1-d9ea7e99ac9a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6" dT="2026-01-26T18:57:28.41" personId="{FDB103AF-BA8A-4F78-8C14-FD47C0D8D200}" id="{4D49D048-1281-411C-8EA6-7C4B48350CFC}">
    <text>@Mauricio Anízio de Amorim (Swift Technical Serv Tec Espec) não devemos normalizar essa parte de cima não. Entendo que deveria ir até c10+ e que o valor apresentado já seria normalizado</text>
    <mentions>
      <mention mentionpersonId="{715C5B9F-30B7-40CD-A9D7-355CC112E3A1}" mentionId="{80641778-D529-4008-8E13-31BCD4CFC8F8}" startIndex="0" length="59"/>
    </mentions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P9" dT="2026-03-02T14:13:35.60" personId="{80B640BC-83A4-4142-BE7F-47B344F9C527}" id="{2ADE6078-6A96-4AD7-8B28-D8E5C28C896A}">
    <text>Para fins de comparação ao usar o dado do cv vs dado calculado com densidade 
kab</text>
  </threadedComment>
  <threadedComment ref="X55" dT="2026-03-04T15:19:41.61" personId="{80B640BC-83A4-4142-BE7F-47B344F9C527}" id="{4058E12D-2F95-4982-A119-A8D458894CCA}">
    <text>04/03/2026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O9" dT="2026-03-02T14:13:35.60" personId="{80B640BC-83A4-4142-BE7F-47B344F9C527}" id="{26C4CBA5-3ADE-4C09-A4A9-8F80C7960D7B}">
    <text>Para fins de comparação ao usar o dado do cv vs dado calculado com densidade 
kab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O9" dT="2026-03-02T14:13:35.60" personId="{80B640BC-83A4-4142-BE7F-47B344F9C527}" id="{D5EE4AE2-25BA-4C2D-BAAE-03BF5371E9A0}">
    <text>Para fins de comparação ao usar o dado do cv vs dado calculado com densidade 
kab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8CD7844-429D-474E-98E2-616FDCBFFD43}">
  <we:reference id="9c0a8f3e-d386-450f-a7e1-48971654f849" version="1.0.1.1" store="EXCatalog" storeType="EXCatalog"/>
  <we:alternateReferences>
    <we:reference id="WA200004504" version="1.0.1.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9/04/relationships/documenttask" Target="../documenttasks/documenttask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file:///\\AFBRA\BRA\Performance%20Monitoring\ProdWells\PW_104DA|InletDiffPressUsed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\\AFBRA\BRA\Performance%20Monitoring\ProdWells\PW_104DA|InletDiffPressUsed" TargetMode="Externa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file:///\\AFBRA\BRA\Performance%20Monitoring\ProdWells\PE_2|InletDiffPressUsed" TargetMode="External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/>
  </sheetPr>
  <dimension ref="A1:O117"/>
  <sheetViews>
    <sheetView showGridLines="0" zoomScale="80" zoomScaleNormal="80" workbookViewId="0">
      <pane ySplit="3" topLeftCell="A4" activePane="bottomLeft" state="frozen"/>
      <selection pane="bottomLeft" activeCell="D15" sqref="D15"/>
    </sheetView>
  </sheetViews>
  <sheetFormatPr defaultRowHeight="15" x14ac:dyDescent="0.25"/>
  <cols>
    <col min="1" max="1" width="42" customWidth="1"/>
    <col min="2" max="2" width="48.7109375" customWidth="1"/>
    <col min="3" max="4" width="45.85546875" customWidth="1"/>
  </cols>
  <sheetData>
    <row r="1" spans="1:4" ht="54" customHeight="1" x14ac:dyDescent="0.25">
      <c r="A1" s="13"/>
      <c r="B1" s="772" t="s">
        <v>0</v>
      </c>
      <c r="C1" s="772"/>
      <c r="D1" s="772"/>
    </row>
    <row r="2" spans="1:4" ht="19.899999999999999" customHeight="1" x14ac:dyDescent="0.3">
      <c r="A2" s="773" t="s">
        <v>1</v>
      </c>
      <c r="B2" s="774"/>
      <c r="C2" s="774"/>
      <c r="D2" s="774"/>
    </row>
    <row r="4" spans="1:4" ht="21.75" customHeight="1" x14ac:dyDescent="0.25">
      <c r="A4" s="767" t="s">
        <v>2</v>
      </c>
      <c r="B4" s="768"/>
      <c r="C4" s="768"/>
      <c r="D4" s="768"/>
    </row>
    <row r="5" spans="1:4" ht="22.5" customHeight="1" x14ac:dyDescent="0.25">
      <c r="A5" s="14" t="s">
        <v>3</v>
      </c>
      <c r="B5" s="1" t="s">
        <v>4</v>
      </c>
      <c r="C5" s="14" t="s">
        <v>5</v>
      </c>
      <c r="D5" s="1" t="s">
        <v>6</v>
      </c>
    </row>
    <row r="6" spans="1:4" ht="22.5" customHeight="1" x14ac:dyDescent="0.25">
      <c r="A6" s="14" t="s">
        <v>7</v>
      </c>
      <c r="B6" s="1" t="s">
        <v>8</v>
      </c>
      <c r="C6" s="14" t="s">
        <v>9</v>
      </c>
      <c r="D6" s="1" t="s">
        <v>10</v>
      </c>
    </row>
    <row r="7" spans="1:4" ht="22.5" customHeight="1" x14ac:dyDescent="0.25">
      <c r="A7" s="14" t="s">
        <v>11</v>
      </c>
      <c r="B7" s="17" t="s">
        <v>12</v>
      </c>
      <c r="C7" s="14" t="s">
        <v>13</v>
      </c>
      <c r="D7" s="1" t="s">
        <v>14</v>
      </c>
    </row>
    <row r="8" spans="1:4" ht="22.5" customHeight="1" x14ac:dyDescent="0.25">
      <c r="A8" s="14" t="s">
        <v>15</v>
      </c>
      <c r="B8" s="1" t="s">
        <v>16</v>
      </c>
      <c r="C8" s="14" t="s">
        <v>17</v>
      </c>
      <c r="D8" s="2">
        <v>46109</v>
      </c>
    </row>
    <row r="10" spans="1:4" ht="22.5" customHeight="1" x14ac:dyDescent="0.25">
      <c r="A10" s="767" t="s">
        <v>18</v>
      </c>
      <c r="B10" s="768"/>
      <c r="C10" s="768"/>
      <c r="D10" s="768"/>
    </row>
    <row r="11" spans="1:4" ht="22.5" customHeight="1" x14ac:dyDescent="0.25">
      <c r="A11" s="14" t="s">
        <v>19</v>
      </c>
      <c r="B11" s="1" t="s">
        <v>20</v>
      </c>
      <c r="C11" s="14" t="s">
        <v>21</v>
      </c>
      <c r="D11" s="1" t="s">
        <v>22</v>
      </c>
    </row>
    <row r="12" spans="1:4" ht="22.5" customHeight="1" x14ac:dyDescent="0.25">
      <c r="A12" s="14" t="s">
        <v>23</v>
      </c>
      <c r="B12" s="1" t="s">
        <v>24</v>
      </c>
      <c r="C12" s="14" t="s">
        <v>25</v>
      </c>
      <c r="D12" s="1" t="s">
        <v>26</v>
      </c>
    </row>
    <row r="14" spans="1:4" ht="18" customHeight="1" x14ac:dyDescent="0.25">
      <c r="A14" s="767" t="s">
        <v>27</v>
      </c>
      <c r="B14" s="768"/>
      <c r="C14" s="768"/>
      <c r="D14" s="768"/>
    </row>
    <row r="15" spans="1:4" ht="23.25" customHeight="1" x14ac:dyDescent="0.25">
      <c r="A15" s="14" t="s">
        <v>28</v>
      </c>
      <c r="B15" s="1" t="s">
        <v>29</v>
      </c>
      <c r="C15" s="14" t="s">
        <v>30</v>
      </c>
      <c r="D15" s="1" t="s">
        <v>730</v>
      </c>
    </row>
    <row r="16" spans="1:4" ht="25.5" customHeight="1" x14ac:dyDescent="0.25">
      <c r="A16" s="14" t="s">
        <v>31</v>
      </c>
      <c r="B16" s="1" t="s">
        <v>32</v>
      </c>
      <c r="C16" s="14" t="s">
        <v>33</v>
      </c>
      <c r="D16" s="1" t="s">
        <v>34</v>
      </c>
    </row>
    <row r="17" spans="1:4" ht="23.25" customHeight="1" x14ac:dyDescent="0.25">
      <c r="A17" s="14" t="s">
        <v>35</v>
      </c>
      <c r="B17" s="1" t="s">
        <v>36</v>
      </c>
      <c r="C17" s="14" t="s">
        <v>37</v>
      </c>
      <c r="D17" s="1" t="s">
        <v>38</v>
      </c>
    </row>
    <row r="19" spans="1:4" ht="18" customHeight="1" x14ac:dyDescent="0.25">
      <c r="A19" s="767" t="s">
        <v>39</v>
      </c>
      <c r="B19" s="768"/>
      <c r="C19" s="768"/>
      <c r="D19" s="768"/>
    </row>
    <row r="20" spans="1:4" ht="32.25" customHeight="1" x14ac:dyDescent="0.25">
      <c r="A20" s="14" t="s">
        <v>40</v>
      </c>
      <c r="B20" s="1" t="s">
        <v>41</v>
      </c>
      <c r="C20" s="14" t="s">
        <v>42</v>
      </c>
      <c r="D20" s="1" t="s">
        <v>43</v>
      </c>
    </row>
    <row r="21" spans="1:4" ht="32.25" customHeight="1" x14ac:dyDescent="0.25">
      <c r="A21" s="14" t="s">
        <v>44</v>
      </c>
      <c r="B21" s="1" t="s">
        <v>45</v>
      </c>
      <c r="C21" s="14" t="s">
        <v>46</v>
      </c>
      <c r="D21" s="1" t="s">
        <v>47</v>
      </c>
    </row>
    <row r="23" spans="1:4" ht="18" customHeight="1" x14ac:dyDescent="0.25">
      <c r="A23" s="767" t="s">
        <v>48</v>
      </c>
      <c r="B23" s="768"/>
      <c r="C23" s="768"/>
      <c r="D23" s="768"/>
    </row>
    <row r="24" spans="1:4" ht="32.25" customHeight="1" x14ac:dyDescent="0.25">
      <c r="A24" s="14" t="s">
        <v>49</v>
      </c>
      <c r="B24" s="1" t="s">
        <v>50</v>
      </c>
      <c r="C24" s="14" t="s">
        <v>51</v>
      </c>
      <c r="D24" s="3">
        <v>46108.5</v>
      </c>
    </row>
    <row r="25" spans="1:4" ht="32.25" customHeight="1" x14ac:dyDescent="0.25">
      <c r="A25" s="14" t="s">
        <v>52</v>
      </c>
      <c r="B25" s="3">
        <v>46108.083333333336</v>
      </c>
      <c r="C25" s="14" t="s">
        <v>53</v>
      </c>
      <c r="D25" s="3">
        <v>46109.5</v>
      </c>
    </row>
    <row r="26" spans="1:4" ht="32.25" customHeight="1" x14ac:dyDescent="0.25">
      <c r="A26" s="14" t="s">
        <v>54</v>
      </c>
      <c r="B26" s="1" t="s">
        <v>12</v>
      </c>
      <c r="C26" s="14" t="s">
        <v>55</v>
      </c>
      <c r="D26" s="1">
        <f>IF(OR(D24="",D25=""),"",(D25-D24)*24)</f>
        <v>24</v>
      </c>
    </row>
    <row r="27" spans="1:4" ht="21" customHeight="1" x14ac:dyDescent="0.25">
      <c r="A27" s="767" t="s">
        <v>56</v>
      </c>
      <c r="B27" s="768"/>
      <c r="C27" s="768"/>
      <c r="D27" s="768"/>
    </row>
    <row r="28" spans="1:4" ht="99.75" customHeight="1" x14ac:dyDescent="0.25">
      <c r="A28" s="769" t="s">
        <v>57</v>
      </c>
      <c r="B28" s="770"/>
      <c r="C28" s="770"/>
      <c r="D28" s="771"/>
    </row>
    <row r="29" spans="1:4" ht="21" customHeight="1" thickBot="1" x14ac:dyDescent="0.3">
      <c r="A29" s="766" t="s">
        <v>58</v>
      </c>
      <c r="B29" s="766"/>
      <c r="C29" s="766"/>
      <c r="D29" s="766"/>
    </row>
    <row r="30" spans="1:4" ht="18.600000000000001" customHeight="1" thickBot="1" x14ac:dyDescent="0.3">
      <c r="A30" s="294" t="s">
        <v>59</v>
      </c>
      <c r="B30" s="296" t="s">
        <v>60</v>
      </c>
      <c r="C30" s="296" t="s">
        <v>61</v>
      </c>
      <c r="D30" s="297" t="s">
        <v>62</v>
      </c>
    </row>
    <row r="31" spans="1:4" ht="28.5" customHeight="1" x14ac:dyDescent="0.25">
      <c r="A31" s="328" t="s">
        <v>63</v>
      </c>
      <c r="B31" s="439"/>
      <c r="C31" s="439"/>
      <c r="D31" s="440"/>
    </row>
    <row r="32" spans="1:4" ht="28.5" customHeight="1" x14ac:dyDescent="0.25">
      <c r="A32" s="329" t="s">
        <v>64</v>
      </c>
      <c r="B32" s="441"/>
      <c r="C32" s="441"/>
      <c r="D32" s="442"/>
    </row>
    <row r="33" spans="1:4" ht="28.5" customHeight="1" x14ac:dyDescent="0.25">
      <c r="A33" s="329" t="s">
        <v>65</v>
      </c>
      <c r="B33" s="441"/>
      <c r="C33" s="441"/>
      <c r="D33" s="442"/>
    </row>
    <row r="34" spans="1:4" ht="28.5" customHeight="1" thickBot="1" x14ac:dyDescent="0.3">
      <c r="A34" s="330" t="s">
        <v>66</v>
      </c>
      <c r="B34" s="443"/>
      <c r="C34" s="443"/>
      <c r="D34" s="444"/>
    </row>
    <row r="35" spans="1:4" ht="28.5" customHeight="1" x14ac:dyDescent="0.25">
      <c r="A35" s="331" t="s">
        <v>67</v>
      </c>
      <c r="B35" s="445"/>
      <c r="C35" s="445"/>
      <c r="D35" s="446"/>
    </row>
    <row r="36" spans="1:4" ht="28.5" customHeight="1" x14ac:dyDescent="0.25">
      <c r="A36" s="329" t="s">
        <v>68</v>
      </c>
      <c r="B36" s="447"/>
      <c r="C36" s="447"/>
      <c r="D36" s="448"/>
    </row>
    <row r="37" spans="1:4" ht="28.5" customHeight="1" x14ac:dyDescent="0.25">
      <c r="A37" s="329" t="s">
        <v>69</v>
      </c>
      <c r="B37" s="447"/>
      <c r="C37" s="447"/>
      <c r="D37" s="448"/>
    </row>
    <row r="38" spans="1:4" ht="28.5" customHeight="1" x14ac:dyDescent="0.25">
      <c r="A38" s="329" t="s">
        <v>70</v>
      </c>
      <c r="B38" s="447"/>
      <c r="C38" s="447"/>
      <c r="D38" s="448"/>
    </row>
    <row r="39" spans="1:4" ht="28.5" customHeight="1" x14ac:dyDescent="0.25">
      <c r="A39" s="329" t="s">
        <v>71</v>
      </c>
      <c r="B39" s="447"/>
      <c r="C39" s="447"/>
      <c r="D39" s="448"/>
    </row>
    <row r="40" spans="1:4" ht="28.5" customHeight="1" thickBot="1" x14ac:dyDescent="0.3">
      <c r="A40" s="330" t="s">
        <v>72</v>
      </c>
      <c r="B40" s="449"/>
      <c r="C40" s="449"/>
      <c r="D40" s="450"/>
    </row>
    <row r="41" spans="1:4" ht="28.5" customHeight="1" x14ac:dyDescent="0.25">
      <c r="A41" s="328" t="s">
        <v>73</v>
      </c>
      <c r="B41" s="451"/>
      <c r="C41" s="451"/>
      <c r="D41" s="452"/>
    </row>
    <row r="42" spans="1:4" ht="28.5" customHeight="1" x14ac:dyDescent="0.25">
      <c r="A42" s="329" t="s">
        <v>74</v>
      </c>
      <c r="B42" s="453"/>
      <c r="C42" s="453"/>
      <c r="D42" s="454"/>
    </row>
    <row r="43" spans="1:4" ht="28.5" customHeight="1" x14ac:dyDescent="0.25">
      <c r="A43" s="329" t="s">
        <v>75</v>
      </c>
      <c r="B43" s="453"/>
      <c r="C43" s="453"/>
      <c r="D43" s="454"/>
    </row>
    <row r="44" spans="1:4" ht="28.5" customHeight="1" x14ac:dyDescent="0.25">
      <c r="A44" s="329" t="s">
        <v>76</v>
      </c>
      <c r="B44" s="453"/>
      <c r="C44" s="453"/>
      <c r="D44" s="454"/>
    </row>
    <row r="45" spans="1:4" ht="28.5" customHeight="1" thickBot="1" x14ac:dyDescent="0.3">
      <c r="A45" s="330" t="s">
        <v>77</v>
      </c>
      <c r="B45" s="455"/>
      <c r="C45" s="455"/>
      <c r="D45" s="456"/>
    </row>
    <row r="117" spans="15:15" x14ac:dyDescent="0.25">
      <c r="O117" t="s">
        <v>78</v>
      </c>
    </row>
  </sheetData>
  <mergeCells count="10">
    <mergeCell ref="A29:D29"/>
    <mergeCell ref="A27:D27"/>
    <mergeCell ref="A28:D28"/>
    <mergeCell ref="B1:D1"/>
    <mergeCell ref="A2:D2"/>
    <mergeCell ref="A10:D10"/>
    <mergeCell ref="A19:D19"/>
    <mergeCell ref="A23:D23"/>
    <mergeCell ref="A4:D4"/>
    <mergeCell ref="A14:D14"/>
  </mergeCells>
  <dataValidations count="3">
    <dataValidation type="list" allowBlank="1" sqref="D5" xr:uid="{00000000-0002-0000-0100-000000000000}">
      <formula1>"Programado,Em Andamento,Concluído,Cancelado"</formula1>
    </dataValidation>
    <dataValidation type="list" allowBlank="1" sqref="B17" xr:uid="{00000000-0002-0000-0100-000001000000}">
      <formula1>"Dual Mode,Single Mode,Outro"</formula1>
    </dataValidation>
    <dataValidation type="list" allowBlank="1" sqref="D6" xr:uid="{449BFF71-A882-421C-9E97-6918E2296AA4}">
      <formula1>"APROVADO,REPROVADO,INCOMPLETO,CANCELADO"</formula1>
    </dataValidation>
  </dataValidation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6"/>
  </sheetPr>
  <dimension ref="A1:J64"/>
  <sheetViews>
    <sheetView showGridLines="0" zoomScale="85" zoomScaleNormal="85" workbookViewId="0">
      <pane ySplit="3" topLeftCell="A15" activePane="bottomLeft" state="frozen"/>
      <selection activeCell="A10" sqref="A10:J10"/>
      <selection pane="bottomLeft" activeCell="A10" sqref="A10:J10"/>
    </sheetView>
  </sheetViews>
  <sheetFormatPr defaultRowHeight="15" x14ac:dyDescent="0.25"/>
  <cols>
    <col min="1" max="1" width="45.42578125" customWidth="1"/>
    <col min="2" max="2" width="32.5703125" customWidth="1"/>
    <col min="3" max="3" width="24.42578125" customWidth="1"/>
    <col min="4" max="4" width="25.42578125" customWidth="1"/>
    <col min="5" max="5" width="23.140625" customWidth="1"/>
    <col min="6" max="6" width="24" customWidth="1"/>
    <col min="7" max="10" width="24" hidden="1" customWidth="1"/>
  </cols>
  <sheetData>
    <row r="1" spans="1:10" ht="54" customHeight="1" x14ac:dyDescent="0.25">
      <c r="A1" s="13"/>
      <c r="B1" s="772" t="s">
        <v>79</v>
      </c>
      <c r="C1" s="772"/>
      <c r="D1" s="772"/>
      <c r="E1" s="13"/>
      <c r="F1" s="13"/>
      <c r="G1" s="13"/>
      <c r="H1" s="13"/>
      <c r="I1" s="13"/>
      <c r="J1" s="13"/>
    </row>
    <row r="2" spans="1:10" ht="19.899999999999999" customHeight="1" x14ac:dyDescent="0.3">
      <c r="A2" s="773" t="s">
        <v>151</v>
      </c>
      <c r="B2" s="774"/>
      <c r="C2" s="774"/>
      <c r="D2" s="774"/>
      <c r="E2" s="774"/>
      <c r="F2" s="774"/>
      <c r="G2" s="774"/>
      <c r="H2" s="774"/>
      <c r="I2" s="774"/>
      <c r="J2" s="774"/>
    </row>
    <row r="4" spans="1:10" x14ac:dyDescent="0.25">
      <c r="A4" s="775" t="s">
        <v>152</v>
      </c>
      <c r="B4" s="776"/>
      <c r="C4" s="776"/>
      <c r="D4" s="776"/>
      <c r="E4" s="776"/>
      <c r="F4" s="776"/>
      <c r="G4" s="776"/>
      <c r="H4" s="776"/>
      <c r="I4" s="776"/>
      <c r="J4" s="776"/>
    </row>
    <row r="5" spans="1:10" ht="30" x14ac:dyDescent="0.25">
      <c r="A5" s="14" t="s">
        <v>80</v>
      </c>
      <c r="B5" s="1" t="s">
        <v>153</v>
      </c>
      <c r="C5" s="457"/>
      <c r="D5" s="457"/>
      <c r="E5" s="457"/>
      <c r="F5" s="457"/>
      <c r="G5" s="457"/>
      <c r="H5" s="457"/>
      <c r="I5" s="457"/>
      <c r="J5" s="457"/>
    </row>
    <row r="6" spans="1:10" x14ac:dyDescent="0.25">
      <c r="A6" s="14" t="s">
        <v>81</v>
      </c>
      <c r="B6" s="2">
        <v>45948</v>
      </c>
      <c r="C6" s="457"/>
      <c r="D6" s="457"/>
      <c r="E6" s="457"/>
      <c r="F6" s="457"/>
      <c r="G6" s="457"/>
      <c r="H6" s="457"/>
      <c r="I6" s="457"/>
      <c r="J6" s="457"/>
    </row>
    <row r="7" spans="1:10" x14ac:dyDescent="0.25">
      <c r="A7" s="14" t="s">
        <v>82</v>
      </c>
      <c r="B7" s="1" t="s">
        <v>154</v>
      </c>
      <c r="C7" s="457"/>
      <c r="D7" s="457"/>
      <c r="E7" s="457"/>
      <c r="F7" s="457"/>
      <c r="G7" s="457"/>
      <c r="H7" s="457"/>
      <c r="I7" s="457"/>
      <c r="J7" s="457"/>
    </row>
    <row r="8" spans="1:10" ht="30" x14ac:dyDescent="0.25">
      <c r="A8" s="14" t="s">
        <v>83</v>
      </c>
      <c r="B8" s="17" t="s">
        <v>12</v>
      </c>
      <c r="C8" s="457"/>
      <c r="D8" s="457"/>
      <c r="E8" s="457"/>
      <c r="F8" s="457"/>
      <c r="G8" s="457"/>
      <c r="H8" s="457"/>
      <c r="I8" s="457"/>
      <c r="J8" s="457"/>
    </row>
    <row r="9" spans="1:10" x14ac:dyDescent="0.25">
      <c r="A9" s="14" t="s">
        <v>84</v>
      </c>
      <c r="B9" s="17" t="s">
        <v>12</v>
      </c>
      <c r="C9" s="457"/>
      <c r="D9" s="457"/>
      <c r="E9" s="457"/>
      <c r="F9" s="457"/>
      <c r="G9" s="457"/>
      <c r="H9" s="457"/>
      <c r="I9" s="457"/>
      <c r="J9" s="457"/>
    </row>
    <row r="10" spans="1:10" ht="30" x14ac:dyDescent="0.25">
      <c r="A10" s="14" t="s">
        <v>86</v>
      </c>
      <c r="B10" s="1" t="s">
        <v>85</v>
      </c>
      <c r="C10" s="457"/>
      <c r="D10" s="457"/>
      <c r="E10" s="457"/>
      <c r="F10" s="457"/>
      <c r="G10" s="457"/>
      <c r="H10" s="457"/>
      <c r="I10" s="457"/>
      <c r="J10" s="457"/>
    </row>
    <row r="11" spans="1:10" x14ac:dyDescent="0.25">
      <c r="A11" s="14" t="s">
        <v>87</v>
      </c>
      <c r="B11" s="2">
        <v>46023</v>
      </c>
      <c r="C11" s="457"/>
      <c r="D11" s="457"/>
      <c r="E11" s="457"/>
      <c r="F11" s="457"/>
      <c r="G11" s="457"/>
      <c r="H11" s="457"/>
      <c r="I11" s="457"/>
      <c r="J11" s="457"/>
    </row>
    <row r="12" spans="1:10" x14ac:dyDescent="0.25">
      <c r="A12" s="27" t="s">
        <v>88</v>
      </c>
      <c r="B12" s="777" t="s">
        <v>155</v>
      </c>
      <c r="C12" s="777"/>
      <c r="D12" s="777"/>
      <c r="E12" s="777"/>
      <c r="F12" s="777"/>
      <c r="G12" s="777"/>
      <c r="H12" s="777"/>
      <c r="I12" s="777"/>
      <c r="J12" s="777"/>
    </row>
    <row r="14" spans="1:10" x14ac:dyDescent="0.25">
      <c r="A14" s="775" t="s">
        <v>89</v>
      </c>
      <c r="B14" s="776"/>
      <c r="C14" s="776"/>
      <c r="D14" s="776"/>
      <c r="E14" s="776"/>
      <c r="F14" s="776"/>
      <c r="G14" s="776"/>
      <c r="H14" s="776"/>
      <c r="I14" s="776"/>
      <c r="J14" s="776"/>
    </row>
    <row r="15" spans="1:10" ht="18" customHeight="1" x14ac:dyDescent="0.25">
      <c r="A15" s="492" t="s">
        <v>59</v>
      </c>
      <c r="B15" s="492" t="s">
        <v>90</v>
      </c>
      <c r="C15" s="492" t="s">
        <v>91</v>
      </c>
      <c r="D15" s="492" t="s">
        <v>92</v>
      </c>
    </row>
    <row r="16" spans="1:10" x14ac:dyDescent="0.25">
      <c r="A16" s="5" t="s">
        <v>93</v>
      </c>
      <c r="B16" s="6" t="s">
        <v>94</v>
      </c>
      <c r="C16" s="24">
        <v>859.93</v>
      </c>
      <c r="D16" s="5" t="s">
        <v>95</v>
      </c>
    </row>
    <row r="17" spans="1:10" x14ac:dyDescent="0.25">
      <c r="A17" s="5" t="s">
        <v>96</v>
      </c>
      <c r="B17" s="6" t="s">
        <v>94</v>
      </c>
      <c r="C17" s="24">
        <v>0.87</v>
      </c>
      <c r="D17" s="5" t="s">
        <v>95</v>
      </c>
    </row>
    <row r="18" spans="1:10" x14ac:dyDescent="0.25">
      <c r="A18" s="5" t="s">
        <v>97</v>
      </c>
      <c r="B18" s="6" t="s">
        <v>94</v>
      </c>
      <c r="C18" s="24">
        <v>1.2450000000000001</v>
      </c>
      <c r="D18" s="5" t="s">
        <v>95</v>
      </c>
    </row>
    <row r="19" spans="1:10" x14ac:dyDescent="0.25">
      <c r="A19" s="5" t="s">
        <v>98</v>
      </c>
      <c r="B19" s="6" t="s">
        <v>99</v>
      </c>
      <c r="C19" s="458">
        <v>337</v>
      </c>
      <c r="D19" s="5" t="s">
        <v>100</v>
      </c>
    </row>
    <row r="20" spans="1:10" x14ac:dyDescent="0.25">
      <c r="A20" s="5" t="s">
        <v>101</v>
      </c>
      <c r="B20" s="6" t="s">
        <v>102</v>
      </c>
      <c r="C20" s="24">
        <v>236.92</v>
      </c>
      <c r="D20" s="5" t="s">
        <v>103</v>
      </c>
    </row>
    <row r="21" spans="1:10" x14ac:dyDescent="0.25">
      <c r="A21" s="5" t="s">
        <v>104</v>
      </c>
      <c r="B21" s="6" t="s">
        <v>94</v>
      </c>
      <c r="C21" s="24">
        <v>255.53</v>
      </c>
      <c r="D21" s="5" t="s">
        <v>103</v>
      </c>
    </row>
    <row r="22" spans="1:10" x14ac:dyDescent="0.25">
      <c r="A22" s="19" t="s">
        <v>105</v>
      </c>
      <c r="B22" s="20" t="s">
        <v>106</v>
      </c>
      <c r="C22" s="25" t="s">
        <v>12</v>
      </c>
      <c r="D22" s="19" t="s">
        <v>103</v>
      </c>
    </row>
    <row r="23" spans="1:10" x14ac:dyDescent="0.25">
      <c r="A23" s="22" t="s">
        <v>156</v>
      </c>
      <c r="B23" s="23" t="s">
        <v>12</v>
      </c>
      <c r="C23" s="459">
        <v>0.64500000000000002</v>
      </c>
      <c r="D23" s="21" t="s">
        <v>100</v>
      </c>
    </row>
    <row r="25" spans="1:10" x14ac:dyDescent="0.25">
      <c r="A25" s="775" t="s">
        <v>107</v>
      </c>
      <c r="B25" s="776"/>
      <c r="C25" s="776"/>
      <c r="D25" s="776"/>
      <c r="E25" s="776"/>
      <c r="F25" s="776"/>
      <c r="G25" s="776"/>
      <c r="H25" s="776"/>
      <c r="I25" s="776"/>
      <c r="J25" s="776"/>
    </row>
    <row r="26" spans="1:10" ht="18" customHeight="1" x14ac:dyDescent="0.25">
      <c r="A26" s="492" t="s">
        <v>108</v>
      </c>
      <c r="B26" s="492" t="s">
        <v>109</v>
      </c>
      <c r="C26" s="492" t="s">
        <v>110</v>
      </c>
      <c r="D26" s="492" t="s">
        <v>111</v>
      </c>
      <c r="E26" s="492" t="s">
        <v>112</v>
      </c>
    </row>
    <row r="27" spans="1:10" x14ac:dyDescent="0.25">
      <c r="A27" s="6" t="s">
        <v>113</v>
      </c>
      <c r="B27" s="18" t="s">
        <v>12</v>
      </c>
      <c r="C27" s="43">
        <v>0.57499999999999996</v>
      </c>
      <c r="D27" s="18">
        <f t="shared" ref="D27:D38" si="0">IF(SUM($C$27:$C$38)=0,"",C27/SUM($C$27:$C$38)*100)</f>
        <v>0.69384110435370183</v>
      </c>
      <c r="E27" s="6" t="s">
        <v>12</v>
      </c>
    </row>
    <row r="28" spans="1:10" x14ac:dyDescent="0.25">
      <c r="A28" s="6" t="s">
        <v>114</v>
      </c>
      <c r="B28" s="18" t="s">
        <v>12</v>
      </c>
      <c r="C28" s="43">
        <v>0.02</v>
      </c>
      <c r="D28" s="18">
        <f t="shared" si="0"/>
        <v>2.4133603629693981E-2</v>
      </c>
      <c r="E28" s="6" t="s">
        <v>12</v>
      </c>
    </row>
    <row r="29" spans="1:10" x14ac:dyDescent="0.25">
      <c r="A29" s="6" t="s">
        <v>115</v>
      </c>
      <c r="B29" s="18" t="s">
        <v>12</v>
      </c>
      <c r="C29" s="43">
        <v>0</v>
      </c>
      <c r="D29" s="18">
        <f t="shared" si="0"/>
        <v>0</v>
      </c>
      <c r="E29" s="6" t="s">
        <v>12</v>
      </c>
    </row>
    <row r="30" spans="1:10" x14ac:dyDescent="0.25">
      <c r="A30" s="6" t="s">
        <v>116</v>
      </c>
      <c r="B30" s="18" t="s">
        <v>12</v>
      </c>
      <c r="C30" s="43">
        <v>62.183</v>
      </c>
      <c r="D30" s="18">
        <f t="shared" si="0"/>
        <v>75.03499372526305</v>
      </c>
      <c r="E30" s="6" t="s">
        <v>12</v>
      </c>
    </row>
    <row r="31" spans="1:10" x14ac:dyDescent="0.25">
      <c r="A31" s="6" t="s">
        <v>117</v>
      </c>
      <c r="B31" s="18" t="s">
        <v>12</v>
      </c>
      <c r="C31" s="43">
        <v>8.0670000000000002</v>
      </c>
      <c r="D31" s="18">
        <f t="shared" si="0"/>
        <v>9.7342890240370679</v>
      </c>
      <c r="E31" s="6" t="s">
        <v>12</v>
      </c>
    </row>
    <row r="32" spans="1:10" x14ac:dyDescent="0.25">
      <c r="A32" s="6" t="s">
        <v>118</v>
      </c>
      <c r="B32" s="18" t="s">
        <v>12</v>
      </c>
      <c r="C32" s="43">
        <v>5.04</v>
      </c>
      <c r="D32" s="18">
        <f t="shared" si="0"/>
        <v>6.0816681146828833</v>
      </c>
      <c r="E32" s="6" t="s">
        <v>12</v>
      </c>
    </row>
    <row r="33" spans="1:10" x14ac:dyDescent="0.25">
      <c r="A33" s="6" t="s">
        <v>119</v>
      </c>
      <c r="B33" s="18" t="s">
        <v>12</v>
      </c>
      <c r="C33" s="43">
        <v>1.06</v>
      </c>
      <c r="D33" s="18">
        <f t="shared" si="0"/>
        <v>1.2790809923737811</v>
      </c>
      <c r="E33" s="6" t="s">
        <v>12</v>
      </c>
    </row>
    <row r="34" spans="1:10" x14ac:dyDescent="0.25">
      <c r="A34" s="6" t="s">
        <v>120</v>
      </c>
      <c r="B34" s="18" t="s">
        <v>12</v>
      </c>
      <c r="C34" s="43">
        <v>1.8580000000000001</v>
      </c>
      <c r="D34" s="18">
        <f t="shared" si="0"/>
        <v>2.242011777198571</v>
      </c>
      <c r="E34" s="6" t="s">
        <v>12</v>
      </c>
    </row>
    <row r="35" spans="1:10" x14ac:dyDescent="0.25">
      <c r="A35" s="6" t="s">
        <v>121</v>
      </c>
      <c r="B35" s="18" t="s">
        <v>12</v>
      </c>
      <c r="C35" s="43">
        <v>0.68100000000000005</v>
      </c>
      <c r="D35" s="18">
        <f t="shared" si="0"/>
        <v>0.82174920359108017</v>
      </c>
      <c r="E35" s="6" t="s">
        <v>12</v>
      </c>
    </row>
    <row r="36" spans="1:10" x14ac:dyDescent="0.25">
      <c r="A36" s="6" t="s">
        <v>122</v>
      </c>
      <c r="B36" s="18" t="s">
        <v>12</v>
      </c>
      <c r="C36" s="43">
        <v>1.1379999999999999</v>
      </c>
      <c r="D36" s="18">
        <f t="shared" si="0"/>
        <v>1.3732020465295873</v>
      </c>
      <c r="E36" s="6" t="s">
        <v>12</v>
      </c>
    </row>
    <row r="37" spans="1:10" x14ac:dyDescent="0.25">
      <c r="A37" s="6" t="s">
        <v>123</v>
      </c>
      <c r="B37" s="18" t="s">
        <v>12</v>
      </c>
      <c r="C37" s="43">
        <v>1.1120000000000001</v>
      </c>
      <c r="D37" s="18">
        <f t="shared" si="0"/>
        <v>1.3418283618109854</v>
      </c>
      <c r="E37" s="6" t="s">
        <v>12</v>
      </c>
    </row>
    <row r="38" spans="1:10" x14ac:dyDescent="0.25">
      <c r="A38" s="6" t="s">
        <v>124</v>
      </c>
      <c r="B38" s="18" t="s">
        <v>12</v>
      </c>
      <c r="C38" s="43">
        <v>1.1379999999999999</v>
      </c>
      <c r="D38" s="18">
        <f t="shared" si="0"/>
        <v>1.3732020465295873</v>
      </c>
      <c r="E38" s="6" t="s">
        <v>12</v>
      </c>
    </row>
    <row r="39" spans="1:10" x14ac:dyDescent="0.25">
      <c r="A39" s="16" t="s">
        <v>125</v>
      </c>
      <c r="B39" s="37" t="s">
        <v>12</v>
      </c>
      <c r="C39" s="43">
        <f>SUM($C$27:$C$38)</f>
        <v>82.872000000000014</v>
      </c>
      <c r="D39" s="18">
        <f>SUM($D$27:$D$38)</f>
        <v>99.999999999999986</v>
      </c>
      <c r="E39" s="37" t="s">
        <v>12</v>
      </c>
    </row>
    <row r="40" spans="1:10" x14ac:dyDescent="0.25">
      <c r="A40" s="44" t="s">
        <v>126</v>
      </c>
      <c r="B40" s="37" t="s">
        <v>12</v>
      </c>
      <c r="C40" s="18">
        <f>IF(SUM($C$27:$C$38)=0,"",SUMPRODUCT(B27:B38,D27:D38)/100)</f>
        <v>0</v>
      </c>
      <c r="D40" s="37" t="s">
        <v>12</v>
      </c>
      <c r="E40" s="37" t="s">
        <v>12</v>
      </c>
    </row>
    <row r="42" spans="1:10" x14ac:dyDescent="0.25">
      <c r="A42" s="775" t="s">
        <v>127</v>
      </c>
      <c r="B42" s="776"/>
      <c r="C42" s="776"/>
      <c r="D42" s="776"/>
      <c r="E42" s="776"/>
      <c r="F42" s="776"/>
      <c r="G42" s="776"/>
      <c r="H42" s="776"/>
      <c r="I42" s="776"/>
      <c r="J42" s="776"/>
    </row>
    <row r="43" spans="1:10" ht="18" customHeight="1" x14ac:dyDescent="0.25">
      <c r="A43" s="492" t="s">
        <v>128</v>
      </c>
      <c r="B43" s="492" t="s">
        <v>129</v>
      </c>
      <c r="C43" s="492" t="s">
        <v>130</v>
      </c>
      <c r="D43" s="492" t="s">
        <v>131</v>
      </c>
    </row>
    <row r="44" spans="1:10" x14ac:dyDescent="0.25">
      <c r="A44" s="326" t="s">
        <v>132</v>
      </c>
      <c r="B44" s="493">
        <v>97.364999999999995</v>
      </c>
      <c r="C44" s="493">
        <v>748.78700000000003</v>
      </c>
      <c r="D44" s="23" t="s">
        <v>12</v>
      </c>
    </row>
    <row r="45" spans="1:10" x14ac:dyDescent="0.25">
      <c r="A45" s="326" t="s">
        <v>133</v>
      </c>
      <c r="B45" s="493">
        <v>111.286</v>
      </c>
      <c r="C45" s="493">
        <v>771.4</v>
      </c>
      <c r="D45" s="23" t="s">
        <v>12</v>
      </c>
    </row>
    <row r="46" spans="1:10" x14ac:dyDescent="0.25">
      <c r="A46" s="326" t="s">
        <v>134</v>
      </c>
      <c r="B46" s="493">
        <v>125.25</v>
      </c>
      <c r="C46" s="493">
        <v>788.6</v>
      </c>
      <c r="D46" s="23" t="s">
        <v>12</v>
      </c>
    </row>
    <row r="47" spans="1:10" x14ac:dyDescent="0.25">
      <c r="A47" s="326" t="s">
        <v>135</v>
      </c>
      <c r="B47" s="493">
        <v>289.25299999999999</v>
      </c>
      <c r="C47" s="493">
        <v>890.9</v>
      </c>
      <c r="D47" s="23" t="s">
        <v>12</v>
      </c>
    </row>
    <row r="50" spans="1:10" x14ac:dyDescent="0.25">
      <c r="A50" s="775" t="s">
        <v>136</v>
      </c>
      <c r="B50" s="776"/>
      <c r="C50" s="776"/>
      <c r="D50" s="776"/>
      <c r="E50" s="776"/>
      <c r="F50" s="776"/>
      <c r="G50" s="776"/>
      <c r="H50" s="776"/>
      <c r="I50" s="776"/>
      <c r="J50" s="776"/>
    </row>
    <row r="51" spans="1:10" ht="18" customHeight="1" x14ac:dyDescent="0.25">
      <c r="A51" s="492" t="s">
        <v>137</v>
      </c>
      <c r="B51" s="492" t="s">
        <v>91</v>
      </c>
      <c r="C51" s="492" t="s">
        <v>138</v>
      </c>
    </row>
    <row r="52" spans="1:10" ht="30" x14ac:dyDescent="0.25">
      <c r="A52" s="5" t="s">
        <v>139</v>
      </c>
      <c r="B52" s="43">
        <v>1</v>
      </c>
      <c r="C52" s="5" t="s">
        <v>140</v>
      </c>
    </row>
    <row r="53" spans="1:10" ht="30" x14ac:dyDescent="0.25">
      <c r="A53" s="5" t="s">
        <v>141</v>
      </c>
      <c r="B53" s="43">
        <v>1</v>
      </c>
      <c r="C53" s="5" t="s">
        <v>142</v>
      </c>
    </row>
    <row r="56" spans="1:10" x14ac:dyDescent="0.25">
      <c r="A56" s="775" t="s">
        <v>143</v>
      </c>
      <c r="B56" s="776"/>
      <c r="C56" s="776"/>
      <c r="D56" s="776"/>
      <c r="E56" s="776"/>
      <c r="F56" s="776"/>
      <c r="G56" s="776"/>
      <c r="H56" s="776"/>
      <c r="I56" s="776"/>
      <c r="J56" s="776"/>
    </row>
    <row r="57" spans="1:10" ht="18.75" customHeight="1" x14ac:dyDescent="0.25">
      <c r="A57" s="492" t="s">
        <v>144</v>
      </c>
      <c r="B57" s="492" t="s">
        <v>145</v>
      </c>
    </row>
    <row r="58" spans="1:10" ht="22.5" customHeight="1" x14ac:dyDescent="0.25">
      <c r="A58" s="46" t="s">
        <v>146</v>
      </c>
      <c r="B58" s="17" t="s">
        <v>157</v>
      </c>
    </row>
    <row r="59" spans="1:10" ht="22.5" customHeight="1" x14ac:dyDescent="0.25">
      <c r="A59" s="46" t="s">
        <v>147</v>
      </c>
      <c r="B59" s="17" t="s">
        <v>157</v>
      </c>
    </row>
    <row r="60" spans="1:10" ht="30.75" customHeight="1" x14ac:dyDescent="0.25">
      <c r="A60" s="46" t="s">
        <v>148</v>
      </c>
      <c r="B60" s="45">
        <v>590</v>
      </c>
    </row>
    <row r="61" spans="1:10" ht="34.5" customHeight="1" x14ac:dyDescent="0.25">
      <c r="A61" s="46" t="s">
        <v>149</v>
      </c>
      <c r="B61" s="45">
        <v>77</v>
      </c>
    </row>
    <row r="62" spans="1:10" ht="30" x14ac:dyDescent="0.25">
      <c r="A62" s="46" t="s">
        <v>158</v>
      </c>
      <c r="B62" s="45">
        <v>84</v>
      </c>
    </row>
    <row r="63" spans="1:10" ht="30" x14ac:dyDescent="0.25">
      <c r="A63" s="46" t="s">
        <v>159</v>
      </c>
      <c r="B63" s="45">
        <v>63</v>
      </c>
    </row>
    <row r="64" spans="1:10" ht="24" customHeight="1" x14ac:dyDescent="0.25">
      <c r="A64" s="46" t="s">
        <v>150</v>
      </c>
      <c r="B64" s="17" t="s">
        <v>160</v>
      </c>
    </row>
  </sheetData>
  <mergeCells count="9">
    <mergeCell ref="B1:D1"/>
    <mergeCell ref="B12:J12"/>
    <mergeCell ref="A50:J50"/>
    <mergeCell ref="A56:J56"/>
    <mergeCell ref="A2:J2"/>
    <mergeCell ref="A25:J25"/>
    <mergeCell ref="A42:J42"/>
    <mergeCell ref="A4:J4"/>
    <mergeCell ref="A14:J14"/>
  </mergeCells>
  <conditionalFormatting sqref="C39:D39">
    <cfRule type="expression" dxfId="31" priority="1">
      <formula>AND(ABS(C39-100)&gt;0.5,C39&lt;&gt;"")</formula>
    </cfRule>
  </conditionalFormatting>
  <dataValidations count="4">
    <dataValidation type="list" allowBlank="1" sqref="B10" xr:uid="{00000000-0002-0000-0200-000000000000}">
      <formula1>"Aprovado,Pendente,Rejeitado"</formula1>
    </dataValidation>
    <dataValidation type="list" allowBlank="1" sqref="B58:B59" xr:uid="{00000000-0002-0000-0200-000001000000}">
      <formula1>"OK,Pendente,Fora"</formula1>
    </dataValidation>
    <dataValidation type="list" allowBlank="1" sqref="B64" xr:uid="{00000000-0002-0000-0200-000002000000}">
      <formula1>"Sim,Não"</formula1>
    </dataValidation>
    <dataValidation type="list" allowBlank="1" sqref="B9" xr:uid="{337BB4D5-6CFD-409B-946E-D774E4F285C3}">
      <formula1>"Aprovado,Pendente,Rejeitado,-"</formula1>
    </dataValidation>
  </dataValidations>
  <pageMargins left="0.75" right="0.75" top="1" bottom="1" header="0.5" footer="0.5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7CB4E-91A1-40E6-AD20-6F0FCBC9E271}">
  <sheetPr codeName="Sheet1">
    <tabColor theme="6"/>
  </sheetPr>
  <dimension ref="A1:W39"/>
  <sheetViews>
    <sheetView zoomScale="85" zoomScaleNormal="85" workbookViewId="0">
      <selection activeCell="A10" sqref="A10:J10"/>
    </sheetView>
  </sheetViews>
  <sheetFormatPr defaultColWidth="9.140625" defaultRowHeight="15" x14ac:dyDescent="0.25"/>
  <cols>
    <col min="1" max="1" width="19" style="405" customWidth="1"/>
    <col min="2" max="2" width="33" style="405" customWidth="1"/>
    <col min="3" max="19" width="9.140625" style="405"/>
    <col min="20" max="20" width="10.28515625" style="405" customWidth="1"/>
    <col min="21" max="21" width="11.42578125" style="405" customWidth="1"/>
    <col min="22" max="22" width="11.28515625" style="405" customWidth="1"/>
    <col min="23" max="23" width="11.140625" style="405" customWidth="1"/>
    <col min="24" max="16384" width="9.140625" style="405"/>
  </cols>
  <sheetData>
    <row r="1" spans="1:23" ht="49.5" customHeight="1" x14ac:dyDescent="0.25">
      <c r="A1" s="13"/>
      <c r="B1" s="772" t="s">
        <v>79</v>
      </c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438"/>
      <c r="N1" s="438"/>
      <c r="O1" s="438"/>
      <c r="P1" s="438"/>
      <c r="Q1" s="438"/>
      <c r="R1" s="438"/>
      <c r="S1" s="438"/>
      <c r="T1" s="438"/>
      <c r="U1" s="438"/>
      <c r="V1" s="438"/>
      <c r="W1" s="438"/>
    </row>
    <row r="2" spans="1:23" ht="18.75" customHeight="1" x14ac:dyDescent="0.25">
      <c r="A2" s="773" t="s">
        <v>151</v>
      </c>
      <c r="B2" s="773"/>
      <c r="C2" s="773"/>
      <c r="D2" s="773"/>
      <c r="E2" s="773"/>
      <c r="F2" s="773"/>
      <c r="G2" s="773"/>
      <c r="H2" s="773"/>
      <c r="I2" s="773"/>
      <c r="J2" s="773"/>
      <c r="K2" s="773"/>
      <c r="L2" s="773"/>
      <c r="M2" s="773"/>
      <c r="N2" s="773"/>
      <c r="O2" s="773"/>
      <c r="P2" s="773"/>
      <c r="Q2" s="773"/>
      <c r="R2" s="773"/>
      <c r="S2" s="773"/>
      <c r="T2" s="773"/>
      <c r="U2" s="773"/>
      <c r="V2" s="773"/>
      <c r="W2" s="773"/>
    </row>
    <row r="3" spans="1:23" x14ac:dyDescent="0.25">
      <c r="K3" s="409">
        <v>417.4</v>
      </c>
      <c r="L3" s="409">
        <v>442</v>
      </c>
      <c r="M3" s="409">
        <v>490.9</v>
      </c>
      <c r="N3" s="409">
        <v>588.29999999999995</v>
      </c>
      <c r="O3" s="409">
        <v>686.1</v>
      </c>
      <c r="P3" s="409">
        <v>784.4</v>
      </c>
      <c r="Q3" s="409">
        <v>883.3</v>
      </c>
      <c r="R3" s="409">
        <v>1129.0999999999999</v>
      </c>
      <c r="S3" s="409">
        <v>1378.8</v>
      </c>
      <c r="T3" s="409">
        <v>1874.7</v>
      </c>
      <c r="U3" s="409">
        <v>2888.9</v>
      </c>
      <c r="V3" s="409">
        <v>5376.5</v>
      </c>
      <c r="W3" s="408">
        <v>57730.2</v>
      </c>
    </row>
    <row r="4" spans="1:23" ht="90.75" thickBot="1" x14ac:dyDescent="0.3">
      <c r="D4" s="406" t="s">
        <v>161</v>
      </c>
      <c r="G4" s="407" t="s">
        <v>162</v>
      </c>
      <c r="K4" s="409"/>
      <c r="L4" s="409"/>
      <c r="M4" s="409"/>
      <c r="N4" s="409"/>
      <c r="O4" s="409"/>
      <c r="P4" s="409"/>
      <c r="Q4" s="409"/>
      <c r="R4" s="409"/>
      <c r="S4" s="409"/>
      <c r="T4" s="409"/>
      <c r="U4" s="409"/>
      <c r="V4" s="409"/>
      <c r="W4" s="409"/>
    </row>
    <row r="5" spans="1:23" ht="45" x14ac:dyDescent="0.25">
      <c r="B5" s="411" t="s">
        <v>163</v>
      </c>
      <c r="C5" s="460">
        <v>336.7</v>
      </c>
      <c r="D5" s="465">
        <v>351.4</v>
      </c>
      <c r="E5" s="466">
        <v>389</v>
      </c>
      <c r="F5" s="466">
        <v>391</v>
      </c>
      <c r="G5" s="467">
        <v>392.9</v>
      </c>
      <c r="H5" s="466">
        <v>398</v>
      </c>
      <c r="I5" s="466">
        <v>402.7</v>
      </c>
      <c r="J5" s="466">
        <v>407.4</v>
      </c>
      <c r="K5" s="468" t="str">
        <f t="shared" ref="D5:W7" si="0">"GOR_"&amp;ROUND(K3,0)</f>
        <v>GOR_417</v>
      </c>
      <c r="L5" s="468" t="str">
        <f t="shared" si="0"/>
        <v>GOR_442</v>
      </c>
      <c r="M5" s="468" t="str">
        <f t="shared" si="0"/>
        <v>GOR_491</v>
      </c>
      <c r="N5" s="468" t="str">
        <f t="shared" si="0"/>
        <v>GOR_588</v>
      </c>
      <c r="O5" s="468" t="str">
        <f t="shared" si="0"/>
        <v>GOR_686</v>
      </c>
      <c r="P5" s="468" t="str">
        <f t="shared" si="0"/>
        <v>GOR_784</v>
      </c>
      <c r="Q5" s="468" t="str">
        <f t="shared" si="0"/>
        <v>GOR_883</v>
      </c>
      <c r="R5" s="468" t="str">
        <f t="shared" si="0"/>
        <v>GOR_1129</v>
      </c>
      <c r="S5" s="468" t="str">
        <f t="shared" si="0"/>
        <v>GOR_1379</v>
      </c>
      <c r="T5" s="468" t="str">
        <f t="shared" si="0"/>
        <v>GOR_1875</v>
      </c>
      <c r="U5" s="468" t="str">
        <f t="shared" si="0"/>
        <v>GOR_2889</v>
      </c>
      <c r="V5" s="468" t="str">
        <f t="shared" si="0"/>
        <v>GOR_5377</v>
      </c>
      <c r="W5" s="468" t="str">
        <f t="shared" si="0"/>
        <v>GOR_57730</v>
      </c>
    </row>
    <row r="6" spans="1:23" x14ac:dyDescent="0.25">
      <c r="B6" s="412"/>
      <c r="C6" s="778"/>
      <c r="D6" s="779"/>
      <c r="E6" s="779"/>
      <c r="F6" s="779"/>
      <c r="G6" s="779"/>
      <c r="H6" s="779"/>
      <c r="I6" s="779"/>
      <c r="J6" s="779"/>
      <c r="K6" s="779"/>
      <c r="L6" s="779"/>
      <c r="M6" s="779"/>
      <c r="N6" s="779"/>
      <c r="O6" s="779"/>
      <c r="P6" s="779"/>
      <c r="Q6" s="779"/>
      <c r="R6" s="779"/>
      <c r="S6" s="779"/>
      <c r="T6" s="779"/>
      <c r="U6" s="779"/>
      <c r="V6" s="779"/>
      <c r="W6" s="780"/>
    </row>
    <row r="7" spans="1:23" x14ac:dyDescent="0.25">
      <c r="B7" s="412" t="s">
        <v>164</v>
      </c>
      <c r="C7" s="461" t="str">
        <f>"GOR_"&amp;ROUND(C5,0)</f>
        <v>GOR_337</v>
      </c>
      <c r="D7" s="470" t="str">
        <f t="shared" si="0"/>
        <v>GOR_351</v>
      </c>
      <c r="E7" s="468" t="str">
        <f t="shared" si="0"/>
        <v>GOR_389</v>
      </c>
      <c r="F7" s="468" t="str">
        <f t="shared" si="0"/>
        <v>GOR_391</v>
      </c>
      <c r="G7" s="467" t="str">
        <f t="shared" si="0"/>
        <v>GOR_393</v>
      </c>
      <c r="H7" s="468" t="str">
        <f t="shared" si="0"/>
        <v>GOR_398</v>
      </c>
      <c r="I7" s="468" t="str">
        <f t="shared" si="0"/>
        <v>GOR_403</v>
      </c>
      <c r="J7" s="468" t="str">
        <f t="shared" si="0"/>
        <v>GOR_407</v>
      </c>
      <c r="K7" s="469" t="s">
        <v>165</v>
      </c>
      <c r="L7" s="469" t="s">
        <v>165</v>
      </c>
      <c r="M7" s="469" t="s">
        <v>165</v>
      </c>
      <c r="N7" s="469" t="s">
        <v>165</v>
      </c>
      <c r="O7" s="469" t="s">
        <v>165</v>
      </c>
      <c r="P7" s="469" t="s">
        <v>165</v>
      </c>
      <c r="Q7" s="469" t="s">
        <v>165</v>
      </c>
      <c r="R7" s="469" t="s">
        <v>165</v>
      </c>
      <c r="S7" s="469" t="s">
        <v>165</v>
      </c>
      <c r="T7" s="469" t="s">
        <v>165</v>
      </c>
      <c r="U7" s="469" t="s">
        <v>165</v>
      </c>
      <c r="V7" s="469" t="s">
        <v>165</v>
      </c>
      <c r="W7" s="469" t="s">
        <v>165</v>
      </c>
    </row>
    <row r="8" spans="1:23" x14ac:dyDescent="0.25">
      <c r="B8" s="413"/>
      <c r="C8" s="462"/>
      <c r="D8" s="471"/>
      <c r="E8" s="469"/>
      <c r="F8" s="469"/>
      <c r="G8" s="472"/>
      <c r="H8" s="469"/>
      <c r="I8" s="469"/>
      <c r="J8" s="469"/>
      <c r="K8" s="473">
        <v>0.61971664428710904</v>
      </c>
      <c r="L8" s="473">
        <v>0.63136589527130105</v>
      </c>
      <c r="M8" s="473">
        <v>0.65175205469131403</v>
      </c>
      <c r="N8" s="473">
        <v>0.68378746509552002</v>
      </c>
      <c r="O8" s="473">
        <v>0.70781397819518999</v>
      </c>
      <c r="P8" s="473">
        <v>0.72650134563446001</v>
      </c>
      <c r="Q8" s="473">
        <v>0.74145126342773404</v>
      </c>
      <c r="R8" s="473">
        <v>0.76836097240447998</v>
      </c>
      <c r="S8" s="473">
        <v>0.78630077838897705</v>
      </c>
      <c r="T8" s="473">
        <v>0.80872559547424305</v>
      </c>
      <c r="U8" s="473">
        <v>0.83115035295486395</v>
      </c>
      <c r="V8" s="473">
        <v>0.85153651237487804</v>
      </c>
      <c r="W8" s="473">
        <v>0.87333565950393699</v>
      </c>
    </row>
    <row r="9" spans="1:23" x14ac:dyDescent="0.25">
      <c r="B9" s="413" t="s">
        <v>166</v>
      </c>
      <c r="C9" s="462" t="s">
        <v>165</v>
      </c>
      <c r="D9" s="471" t="s">
        <v>165</v>
      </c>
      <c r="E9" s="469" t="s">
        <v>165</v>
      </c>
      <c r="F9" s="469" t="s">
        <v>165</v>
      </c>
      <c r="G9" s="472" t="s">
        <v>165</v>
      </c>
      <c r="H9" s="469" t="s">
        <v>165</v>
      </c>
      <c r="I9" s="469" t="s">
        <v>165</v>
      </c>
      <c r="J9" s="469" t="s">
        <v>165</v>
      </c>
      <c r="K9" s="473">
        <v>2.3095313459634701E-2</v>
      </c>
      <c r="L9" s="473">
        <v>2.6000073179602599E-2</v>
      </c>
      <c r="M9" s="473">
        <v>3.1083399429917301E-2</v>
      </c>
      <c r="N9" s="473">
        <v>3.9071485400199897E-2</v>
      </c>
      <c r="O9" s="473">
        <v>4.5062549412250498E-2</v>
      </c>
      <c r="P9" s="473">
        <v>4.9722265452146502E-2</v>
      </c>
      <c r="Q9" s="473">
        <v>5.3450040519237497E-2</v>
      </c>
      <c r="R9" s="473">
        <v>6.01600259542465E-2</v>
      </c>
      <c r="S9" s="473">
        <v>6.4633354544639504E-2</v>
      </c>
      <c r="T9" s="473">
        <v>7.0225015282630907E-2</v>
      </c>
      <c r="U9" s="473">
        <v>7.5816676020622198E-2</v>
      </c>
      <c r="V9" s="473">
        <v>8.0900013446807903E-2</v>
      </c>
      <c r="W9" s="473">
        <v>8.6335644125938402E-2</v>
      </c>
    </row>
    <row r="10" spans="1:23" x14ac:dyDescent="0.25">
      <c r="B10" s="413" t="s">
        <v>113</v>
      </c>
      <c r="C10" s="463">
        <v>0.57537671621584197</v>
      </c>
      <c r="D10" s="474">
        <v>0.58472475428271398</v>
      </c>
      <c r="E10" s="473">
        <v>0.60498445439353699</v>
      </c>
      <c r="F10" s="473">
        <v>0.60590525352804703</v>
      </c>
      <c r="G10" s="475">
        <v>0.60690242760971003</v>
      </c>
      <c r="H10" s="473">
        <v>0.60956680774688698</v>
      </c>
      <c r="I10" s="473">
        <v>0.61217886209487904</v>
      </c>
      <c r="J10" s="473">
        <v>0.61474025249481201</v>
      </c>
      <c r="K10" s="473">
        <v>65.082717895507798</v>
      </c>
      <c r="L10" s="473">
        <v>65.743141174316406</v>
      </c>
      <c r="M10" s="473">
        <v>66.898880004882798</v>
      </c>
      <c r="N10" s="473">
        <v>68.715042114257798</v>
      </c>
      <c r="O10" s="473">
        <v>70.077156066894503</v>
      </c>
      <c r="P10" s="473">
        <v>71.136589050292898</v>
      </c>
      <c r="Q10" s="473">
        <v>71.984123229980497</v>
      </c>
      <c r="R10" s="473">
        <v>73.509704589843693</v>
      </c>
      <c r="S10" s="473">
        <v>74.526748657226506</v>
      </c>
      <c r="T10" s="473">
        <v>75.798065185546804</v>
      </c>
      <c r="U10" s="473">
        <v>77.069381713867102</v>
      </c>
      <c r="V10" s="473">
        <v>78.225112915039105</v>
      </c>
      <c r="W10" s="473">
        <v>79.460952758789105</v>
      </c>
    </row>
    <row r="11" spans="1:23" x14ac:dyDescent="0.25">
      <c r="B11" s="413" t="s">
        <v>114</v>
      </c>
      <c r="C11" s="463">
        <v>1.9796578272108002E-2</v>
      </c>
      <c r="D11" s="474">
        <v>1.9829391152076801E-2</v>
      </c>
      <c r="E11" s="473">
        <v>1.98943094235732E-2</v>
      </c>
      <c r="F11" s="473">
        <v>1.9897086927840101E-2</v>
      </c>
      <c r="G11" s="475">
        <v>1.99000796003184E-2</v>
      </c>
      <c r="H11" s="473">
        <v>2.05644350498915E-2</v>
      </c>
      <c r="I11" s="473">
        <v>2.1215764805674601E-2</v>
      </c>
      <c r="J11" s="473">
        <v>2.18544453382492E-2</v>
      </c>
      <c r="K11" s="473">
        <v>8.2488422393798793</v>
      </c>
      <c r="L11" s="473">
        <v>8.3226661682128906</v>
      </c>
      <c r="M11" s="473">
        <v>8.4518613815307599</v>
      </c>
      <c r="N11" s="473">
        <v>8.6548814773559606</v>
      </c>
      <c r="O11" s="473">
        <v>8.80714607238769</v>
      </c>
      <c r="P11" s="473">
        <v>8.9255743026733398</v>
      </c>
      <c r="Q11" s="473">
        <v>9.0203170776367205</v>
      </c>
      <c r="R11" s="473">
        <v>9.1908540725708008</v>
      </c>
      <c r="S11" s="473">
        <v>9.3045454025268501</v>
      </c>
      <c r="T11" s="473">
        <v>9.4466590881347603</v>
      </c>
      <c r="U11" s="473">
        <v>9.5887727737426705</v>
      </c>
      <c r="V11" s="473">
        <v>9.7179670333862305</v>
      </c>
      <c r="W11" s="473">
        <v>9.8561153411865199</v>
      </c>
    </row>
    <row r="12" spans="1:23" x14ac:dyDescent="0.25">
      <c r="B12" s="413" t="s">
        <v>116</v>
      </c>
      <c r="C12" s="463">
        <v>62.182931696514402</v>
      </c>
      <c r="D12" s="474">
        <v>62.8206169453466</v>
      </c>
      <c r="E12" s="473">
        <v>64.221806435079799</v>
      </c>
      <c r="F12" s="473">
        <v>64.286308552287906</v>
      </c>
      <c r="G12" s="475">
        <v>64.356257425029696</v>
      </c>
      <c r="H12" s="473">
        <v>64.507308959960895</v>
      </c>
      <c r="I12" s="473">
        <v>64.655387878417997</v>
      </c>
      <c r="J12" s="473">
        <v>64.800598144531193</v>
      </c>
      <c r="K12" s="473">
        <v>5.0196380615234304</v>
      </c>
      <c r="L12" s="473">
        <v>5.0700178146362296</v>
      </c>
      <c r="M12" s="473">
        <v>5.1581835746765101</v>
      </c>
      <c r="N12" s="473">
        <v>5.2967286109924299</v>
      </c>
      <c r="O12" s="473">
        <v>5.4006376266479403</v>
      </c>
      <c r="P12" s="473">
        <v>5.4814553260803196</v>
      </c>
      <c r="Q12" s="473">
        <v>5.5461106300354004</v>
      </c>
      <c r="R12" s="473">
        <v>5.6624879837036097</v>
      </c>
      <c r="S12" s="473">
        <v>5.7400727272033603</v>
      </c>
      <c r="T12" s="473">
        <v>5.8370547294616699</v>
      </c>
      <c r="U12" s="473">
        <v>5.9340362548828098</v>
      </c>
      <c r="V12" s="473">
        <v>6.0222015380859402</v>
      </c>
      <c r="W12" s="473">
        <v>6.11647701263428</v>
      </c>
    </row>
    <row r="13" spans="1:23" x14ac:dyDescent="0.25">
      <c r="B13" s="413" t="s">
        <v>117</v>
      </c>
      <c r="C13" s="463">
        <v>8.0688745919070008</v>
      </c>
      <c r="D13" s="474">
        <v>8.0955274751683302</v>
      </c>
      <c r="E13" s="473">
        <v>8.1608198077787097</v>
      </c>
      <c r="F13" s="473">
        <v>8.1640757204254797</v>
      </c>
      <c r="G13" s="475">
        <v>8.1676326705306792</v>
      </c>
      <c r="H13" s="473">
        <v>8.1845178604125994</v>
      </c>
      <c r="I13" s="473">
        <v>8.2010717391967791</v>
      </c>
      <c r="J13" s="473">
        <v>8.2173051834106392</v>
      </c>
      <c r="K13" s="473">
        <v>1.03128957748413</v>
      </c>
      <c r="L13" s="473">
        <v>1.02827656269073</v>
      </c>
      <c r="M13" s="473">
        <v>1.02300357818603</v>
      </c>
      <c r="N13" s="473">
        <v>1.0147173404693599</v>
      </c>
      <c r="O13" s="473">
        <v>1.0085026025771999</v>
      </c>
      <c r="P13" s="473">
        <v>1.0036689043045</v>
      </c>
      <c r="Q13" s="473">
        <v>0.99980205297470104</v>
      </c>
      <c r="R13" s="473">
        <v>0.99284166097640902</v>
      </c>
      <c r="S13" s="473">
        <v>0.98820132017135598</v>
      </c>
      <c r="T13" s="473">
        <v>0.98240095376968295</v>
      </c>
      <c r="U13" s="473">
        <v>0.97660058736801103</v>
      </c>
      <c r="V13" s="473">
        <v>0.97132760286331199</v>
      </c>
      <c r="W13" s="473">
        <v>0.96568912267684903</v>
      </c>
    </row>
    <row r="14" spans="1:23" x14ac:dyDescent="0.25">
      <c r="B14" s="413" t="s">
        <v>118</v>
      </c>
      <c r="C14" s="463">
        <v>5.0474179959508598</v>
      </c>
      <c r="D14" s="474">
        <v>5.0212471857653904</v>
      </c>
      <c r="E14" s="473">
        <v>4.9688210232084504</v>
      </c>
      <c r="F14" s="473">
        <v>4.9666034418025902</v>
      </c>
      <c r="G14" s="475">
        <v>4.9642198568794296</v>
      </c>
      <c r="H14" s="473">
        <v>4.9757423400878897</v>
      </c>
      <c r="I14" s="473">
        <v>4.98703908920288</v>
      </c>
      <c r="J14" s="473">
        <v>4.9981169700622496</v>
      </c>
      <c r="K14" s="473">
        <v>1.77681636810302</v>
      </c>
      <c r="L14" s="473">
        <v>1.76418828964233</v>
      </c>
      <c r="M14" s="473">
        <v>1.7420893907546899</v>
      </c>
      <c r="N14" s="473">
        <v>1.7073621749877901</v>
      </c>
      <c r="O14" s="473">
        <v>1.6813169717788601</v>
      </c>
      <c r="P14" s="473">
        <v>1.6610594987869201</v>
      </c>
      <c r="Q14" s="473">
        <v>1.64485347270966</v>
      </c>
      <c r="R14" s="473">
        <v>1.61568284034729</v>
      </c>
      <c r="S14" s="473">
        <v>1.59623563289642</v>
      </c>
      <c r="T14" s="473">
        <v>1.57192683219909</v>
      </c>
      <c r="U14" s="473">
        <v>1.54761779308319</v>
      </c>
      <c r="V14" s="473">
        <v>1.52551889419556</v>
      </c>
      <c r="W14" s="473">
        <v>1.5018882751464799</v>
      </c>
    </row>
    <row r="15" spans="1:23" x14ac:dyDescent="0.25">
      <c r="B15" s="413" t="s">
        <v>167</v>
      </c>
      <c r="C15" s="463">
        <v>1.06855215542051</v>
      </c>
      <c r="D15" s="474">
        <v>1.0582655339207001</v>
      </c>
      <c r="E15" s="473">
        <v>1.03660383431433</v>
      </c>
      <c r="F15" s="473">
        <v>1.0356426283220399</v>
      </c>
      <c r="G15" s="475">
        <v>1.0346041384165501</v>
      </c>
      <c r="H15" s="473">
        <v>1.0339150428771999</v>
      </c>
      <c r="I15" s="473">
        <v>1.0332393646240201</v>
      </c>
      <c r="J15" s="473">
        <v>1.03257691860198</v>
      </c>
      <c r="K15" s="473">
        <v>0.63505011796951205</v>
      </c>
      <c r="L15" s="473">
        <v>0.624547779560089</v>
      </c>
      <c r="M15" s="473">
        <v>0.60616886615753096</v>
      </c>
      <c r="N15" s="473">
        <v>0.57728755474090598</v>
      </c>
      <c r="O15" s="473">
        <v>0.55562663078308105</v>
      </c>
      <c r="P15" s="473">
        <v>0.53877919912338201</v>
      </c>
      <c r="Q15" s="473">
        <v>0.52530133724212602</v>
      </c>
      <c r="R15" s="473">
        <v>0.50104099512100198</v>
      </c>
      <c r="S15" s="473">
        <v>0.484867483377456</v>
      </c>
      <c r="T15" s="473">
        <v>0.46465066075325001</v>
      </c>
      <c r="U15" s="473">
        <v>0.44443374872207603</v>
      </c>
      <c r="V15" s="473">
        <v>0.42605480551719699</v>
      </c>
      <c r="W15" s="473">
        <v>0.40640199184417702</v>
      </c>
    </row>
    <row r="16" spans="1:23" x14ac:dyDescent="0.25">
      <c r="B16" s="413" t="s">
        <v>168</v>
      </c>
      <c r="C16" s="463">
        <v>1.8576489731824599</v>
      </c>
      <c r="D16" s="474">
        <v>1.8373629583844</v>
      </c>
      <c r="E16" s="473">
        <v>1.7946514079489799</v>
      </c>
      <c r="F16" s="473">
        <v>1.7927554924887801</v>
      </c>
      <c r="G16" s="475">
        <v>1.7907071628286499</v>
      </c>
      <c r="H16" s="473">
        <v>1.78781890869141</v>
      </c>
      <c r="I16" s="473">
        <v>1.7849873304367101</v>
      </c>
      <c r="J16" s="473">
        <v>1.78221094608306</v>
      </c>
      <c r="K16" s="473">
        <v>0.728526651859283</v>
      </c>
      <c r="L16" s="473">
        <v>0.71254819631576505</v>
      </c>
      <c r="M16" s="473">
        <v>0.68458586931228604</v>
      </c>
      <c r="N16" s="473">
        <v>0.64064502716064498</v>
      </c>
      <c r="O16" s="473">
        <v>0.60768938064575195</v>
      </c>
      <c r="P16" s="473">
        <v>0.58205717802047696</v>
      </c>
      <c r="Q16" s="473">
        <v>0.56155151128768899</v>
      </c>
      <c r="R16" s="473">
        <v>0.52464121580123901</v>
      </c>
      <c r="S16" s="473">
        <v>0.50003433227538996</v>
      </c>
      <c r="T16" s="473">
        <v>0.469275742769241</v>
      </c>
      <c r="U16" s="473">
        <v>0.43851715326309199</v>
      </c>
      <c r="V16" s="473">
        <v>0.41055482625961298</v>
      </c>
      <c r="W16" s="473">
        <v>0.38065448403358498</v>
      </c>
    </row>
    <row r="17" spans="2:23" x14ac:dyDescent="0.25">
      <c r="B17" s="413" t="s">
        <v>169</v>
      </c>
      <c r="C17" s="463">
        <v>0.68094708091570799</v>
      </c>
      <c r="D17" s="474">
        <v>0.67067739632563295</v>
      </c>
      <c r="E17" s="473">
        <v>0.64866888768878095</v>
      </c>
      <c r="F17" s="473">
        <v>0.64767650468664495</v>
      </c>
      <c r="G17" s="475">
        <v>0.64660258641034596</v>
      </c>
      <c r="H17" s="473">
        <v>0.64420056343078602</v>
      </c>
      <c r="I17" s="473">
        <v>0.641845703125</v>
      </c>
      <c r="J17" s="473">
        <v>0.63953649997711104</v>
      </c>
      <c r="K17" s="473">
        <v>0.99671816825866699</v>
      </c>
      <c r="L17" s="473">
        <v>0.95954918861389105</v>
      </c>
      <c r="M17" s="473">
        <v>0.894503474235534</v>
      </c>
      <c r="N17" s="473">
        <v>0.79228860139846802</v>
      </c>
      <c r="O17" s="473">
        <v>0.71562755107879605</v>
      </c>
      <c r="P17" s="473">
        <v>0.65600222349166804</v>
      </c>
      <c r="Q17" s="473">
        <v>0.60830205678939797</v>
      </c>
      <c r="R17" s="473">
        <v>0.522441625595092</v>
      </c>
      <c r="S17" s="473">
        <v>0.46520134806632901</v>
      </c>
      <c r="T17" s="473">
        <v>0.39365100860595698</v>
      </c>
      <c r="U17" s="473">
        <v>0.322100669145584</v>
      </c>
      <c r="V17" s="473">
        <v>0.25705492496490501</v>
      </c>
      <c r="W17" s="473">
        <v>0.18750102818012199</v>
      </c>
    </row>
    <row r="18" spans="2:23" x14ac:dyDescent="0.25">
      <c r="B18" s="413" t="s">
        <v>170</v>
      </c>
      <c r="C18" s="463">
        <v>0.78837192648593901</v>
      </c>
      <c r="D18" s="474">
        <v>0.77574337983270203</v>
      </c>
      <c r="E18" s="473">
        <v>0.74864959395590303</v>
      </c>
      <c r="F18" s="473">
        <v>0.74742661698598001</v>
      </c>
      <c r="G18" s="475">
        <v>0.74610298441193801</v>
      </c>
      <c r="H18" s="473">
        <v>0.74244850873947099</v>
      </c>
      <c r="I18" s="473">
        <v>0.73886567354202304</v>
      </c>
      <c r="J18" s="473">
        <v>0.73535239696502597</v>
      </c>
      <c r="K18" s="473">
        <v>1.0182898044586099</v>
      </c>
      <c r="L18" s="473">
        <v>0.97200393676757801</v>
      </c>
      <c r="M18" s="473">
        <v>0.89100366830825795</v>
      </c>
      <c r="N18" s="473">
        <v>0.76371741294860795</v>
      </c>
      <c r="O18" s="473">
        <v>0.66825270652770996</v>
      </c>
      <c r="P18" s="473">
        <v>0.594002366065979</v>
      </c>
      <c r="Q18" s="473">
        <v>0.53460216522216797</v>
      </c>
      <c r="R18" s="473">
        <v>0.42768171429634</v>
      </c>
      <c r="S18" s="473">
        <v>0.35640144348144498</v>
      </c>
      <c r="T18" s="473">
        <v>0.26730108261108398</v>
      </c>
      <c r="U18" s="473">
        <v>0.17820072174072199</v>
      </c>
      <c r="V18" s="473">
        <v>9.7200393676757799E-2</v>
      </c>
      <c r="W18" s="473">
        <v>1.0586181655526199E-2</v>
      </c>
    </row>
    <row r="19" spans="2:23" x14ac:dyDescent="0.25">
      <c r="B19" s="413" t="s">
        <v>123</v>
      </c>
      <c r="C19" s="463">
        <v>1.1116361551479901</v>
      </c>
      <c r="D19" s="474">
        <v>1.0896389322962401</v>
      </c>
      <c r="E19" s="473">
        <v>1.0421017500933401</v>
      </c>
      <c r="F19" s="473">
        <v>1.03994252248732</v>
      </c>
      <c r="G19" s="475">
        <v>1.0376041504166</v>
      </c>
      <c r="H19" s="473">
        <v>1.02910304069519</v>
      </c>
      <c r="I19" s="473">
        <v>1.02076864242554</v>
      </c>
      <c r="J19" s="473">
        <v>1.01259624958038</v>
      </c>
      <c r="K19" s="473">
        <v>1.4666725397109901</v>
      </c>
      <c r="L19" s="473">
        <v>1.4000055789947501</v>
      </c>
      <c r="M19" s="473">
        <v>1.2833385467529199</v>
      </c>
      <c r="N19" s="473">
        <v>1.10000443458557</v>
      </c>
      <c r="O19" s="473">
        <v>0.96250391006469704</v>
      </c>
      <c r="P19" s="473">
        <v>0.85555899143218905</v>
      </c>
      <c r="Q19" s="473">
        <v>0.77000313997268699</v>
      </c>
      <c r="R19" s="473">
        <v>0.61600250005722001</v>
      </c>
      <c r="S19" s="473">
        <v>0.51333540678024203</v>
      </c>
      <c r="T19" s="473">
        <v>0.385001569986343</v>
      </c>
      <c r="U19" s="473">
        <v>0.25666770339012102</v>
      </c>
      <c r="V19" s="473">
        <v>0.14000058174133301</v>
      </c>
      <c r="W19" s="473">
        <v>1.5247587114572501E-2</v>
      </c>
    </row>
    <row r="20" spans="2:23" x14ac:dyDescent="0.25">
      <c r="B20" s="413" t="s">
        <v>132</v>
      </c>
      <c r="C20" s="463">
        <v>1.1384811109963999</v>
      </c>
      <c r="D20" s="474">
        <v>1.11739850819083</v>
      </c>
      <c r="E20" s="473">
        <v>1.0732669985979899</v>
      </c>
      <c r="F20" s="473">
        <v>1.0713139972431001</v>
      </c>
      <c r="G20" s="475">
        <v>1.0692042768171099</v>
      </c>
      <c r="H20" s="473">
        <v>1.0586181879043599</v>
      </c>
      <c r="I20" s="473">
        <v>1.0482394695282</v>
      </c>
      <c r="J20" s="473">
        <v>1.0380624532699501</v>
      </c>
      <c r="K20" s="473">
        <v>1.29057657718658</v>
      </c>
      <c r="L20" s="473">
        <v>1.2319140434265099</v>
      </c>
      <c r="M20" s="473">
        <v>1.1292545795440601</v>
      </c>
      <c r="N20" s="473">
        <v>0.96793246269226096</v>
      </c>
      <c r="O20" s="473">
        <v>0.84694093465804998</v>
      </c>
      <c r="P20" s="473">
        <v>0.75283634662628096</v>
      </c>
      <c r="Q20" s="473">
        <v>0.67755275964736905</v>
      </c>
      <c r="R20" s="473">
        <v>0.542042195796966</v>
      </c>
      <c r="S20" s="473">
        <v>0.451701790094375</v>
      </c>
      <c r="T20" s="473">
        <v>0.33877635002136203</v>
      </c>
      <c r="U20" s="473">
        <v>0.225850895047187</v>
      </c>
      <c r="V20" s="473">
        <v>0.12319141626358</v>
      </c>
      <c r="W20" s="473">
        <v>1.34168863296509E-2</v>
      </c>
    </row>
    <row r="21" spans="2:23" x14ac:dyDescent="0.25">
      <c r="B21" s="413" t="s">
        <v>133</v>
      </c>
      <c r="C21" s="463">
        <v>1.6567837716348499</v>
      </c>
      <c r="D21" s="474">
        <v>1.6214911123273299</v>
      </c>
      <c r="E21" s="473">
        <v>1.5469280799637599</v>
      </c>
      <c r="F21" s="473">
        <v>1.5436019820531199</v>
      </c>
      <c r="G21" s="475">
        <v>1.54000616002464</v>
      </c>
      <c r="H21" s="473">
        <v>1.5247585773468</v>
      </c>
      <c r="I21" s="473">
        <v>1.50980997085571</v>
      </c>
      <c r="J21" s="473">
        <v>1.49515163898468</v>
      </c>
      <c r="K21" s="473">
        <v>12.062048554420429</v>
      </c>
      <c r="L21" s="473">
        <v>11.513773441314653</v>
      </c>
      <c r="M21" s="473">
        <v>10.554292857646919</v>
      </c>
      <c r="N21" s="473">
        <v>9.0465364456176758</v>
      </c>
      <c r="O21" s="473">
        <v>7.9157194495200889</v>
      </c>
      <c r="P21" s="473">
        <v>7.0361950397491393</v>
      </c>
      <c r="Q21" s="473">
        <v>6.3325756788253837</v>
      </c>
      <c r="R21" s="473">
        <v>5.0660604238510096</v>
      </c>
      <c r="S21" s="473">
        <v>4.2217169106006578</v>
      </c>
      <c r="T21" s="473">
        <v>3.1662878096103637</v>
      </c>
      <c r="U21" s="473">
        <v>2.1108584553003262</v>
      </c>
      <c r="V21" s="473">
        <v>1.1513773947954189</v>
      </c>
      <c r="W21" s="473">
        <v>0.12539753690361982</v>
      </c>
    </row>
    <row r="22" spans="2:23" x14ac:dyDescent="0.25">
      <c r="B22" s="413" t="s">
        <v>134</v>
      </c>
      <c r="C22" s="463">
        <v>1.4715489522876299</v>
      </c>
      <c r="D22" s="474">
        <v>1.4365684949310999</v>
      </c>
      <c r="E22" s="473">
        <v>1.3620700397276899</v>
      </c>
      <c r="F22" s="473">
        <v>1.3587245717041401</v>
      </c>
      <c r="G22" s="475">
        <v>1.3551054204216799</v>
      </c>
      <c r="H22" s="473">
        <v>1.3416885137557999</v>
      </c>
      <c r="I22" s="473">
        <v>1.32853472232819</v>
      </c>
      <c r="J22" s="473">
        <v>1.3156363964080799</v>
      </c>
      <c r="K22" s="469"/>
      <c r="L22" s="469"/>
      <c r="M22" s="469"/>
      <c r="N22" s="469"/>
      <c r="O22" s="469"/>
      <c r="P22" s="469"/>
      <c r="Q22" s="469"/>
      <c r="R22" s="469"/>
      <c r="S22" s="469"/>
      <c r="T22" s="469"/>
      <c r="U22" s="469"/>
      <c r="V22" s="469"/>
      <c r="W22" s="469"/>
    </row>
    <row r="23" spans="2:23" x14ac:dyDescent="0.25">
      <c r="B23" s="413" t="s">
        <v>135</v>
      </c>
      <c r="C23" s="463">
        <v>14.331632295068159</v>
      </c>
      <c r="D23" s="474">
        <v>13.85090793207576</v>
      </c>
      <c r="E23" s="473">
        <v>12.77073337782506</v>
      </c>
      <c r="F23" s="473">
        <v>12.720125629056868</v>
      </c>
      <c r="G23" s="475">
        <v>12.665150660602652</v>
      </c>
      <c r="H23" s="473">
        <v>12.539753258228304</v>
      </c>
      <c r="I23" s="473">
        <v>12.416814446449274</v>
      </c>
      <c r="J23" s="473">
        <v>12.296263635158496</v>
      </c>
      <c r="K23" s="473">
        <v>286.54916712306118</v>
      </c>
      <c r="L23" s="473">
        <v>286.54916597124441</v>
      </c>
      <c r="M23" s="473">
        <v>286.54917231025883</v>
      </c>
      <c r="N23" s="473">
        <v>286.5491699088397</v>
      </c>
      <c r="O23" s="473">
        <v>286.54916828345068</v>
      </c>
      <c r="P23" s="473">
        <v>286.54917012880236</v>
      </c>
      <c r="Q23" s="473">
        <v>286.54917065032976</v>
      </c>
      <c r="R23" s="473">
        <v>286.54917014053729</v>
      </c>
      <c r="S23" s="473">
        <v>286.54917004084848</v>
      </c>
      <c r="T23" s="473">
        <v>286.54917144864254</v>
      </c>
      <c r="U23" s="473">
        <v>286.54917004084854</v>
      </c>
      <c r="V23" s="473">
        <v>286.54916778030531</v>
      </c>
      <c r="W23" s="473">
        <v>286.5491703615636</v>
      </c>
    </row>
    <row r="24" spans="2:23" x14ac:dyDescent="0.25">
      <c r="B24" s="413"/>
      <c r="C24" s="462"/>
      <c r="D24" s="471"/>
      <c r="E24" s="469"/>
      <c r="F24" s="469"/>
      <c r="G24" s="472"/>
      <c r="H24" s="469"/>
      <c r="I24" s="469"/>
      <c r="J24" s="469"/>
      <c r="K24" s="476">
        <v>0.88979446250324368</v>
      </c>
      <c r="L24" s="476">
        <v>0.88979446363795212</v>
      </c>
      <c r="M24" s="476">
        <v>0.88979446664290307</v>
      </c>
      <c r="N24" s="476">
        <v>0.88979446439067633</v>
      </c>
      <c r="O24" s="476">
        <v>0.88979446275397556</v>
      </c>
      <c r="P24" s="476">
        <v>0.88979446409950247</v>
      </c>
      <c r="Q24" s="476">
        <v>0.88979446732914347</v>
      </c>
      <c r="R24" s="476">
        <v>0.88979446468769485</v>
      </c>
      <c r="S24" s="476">
        <v>0.88979446438360577</v>
      </c>
      <c r="T24" s="476">
        <v>0.88979446784111804</v>
      </c>
      <c r="U24" s="476">
        <v>0.8897944648306384</v>
      </c>
      <c r="V24" s="476">
        <v>0.8667359009664618</v>
      </c>
      <c r="W24" s="476">
        <v>0.88979446675397533</v>
      </c>
    </row>
    <row r="25" spans="2:23" x14ac:dyDescent="0.25">
      <c r="B25" s="413" t="s">
        <v>171</v>
      </c>
      <c r="C25" s="463">
        <v>289.63963387737891</v>
      </c>
      <c r="D25" s="474">
        <v>288.95881020483768</v>
      </c>
      <c r="E25" s="473">
        <v>286.81342143837708</v>
      </c>
      <c r="F25" s="473">
        <v>286.68811721820799</v>
      </c>
      <c r="G25" s="475">
        <v>286.54916999507799</v>
      </c>
      <c r="H25" s="473">
        <v>286.54917135186446</v>
      </c>
      <c r="I25" s="473">
        <v>286.54916992071077</v>
      </c>
      <c r="J25" s="473">
        <v>286.54917354769412</v>
      </c>
      <c r="K25" s="469"/>
      <c r="L25" s="469"/>
      <c r="M25" s="469"/>
      <c r="N25" s="469"/>
      <c r="O25" s="469"/>
      <c r="P25" s="469"/>
      <c r="Q25" s="469"/>
      <c r="R25" s="469"/>
      <c r="S25" s="469"/>
      <c r="T25" s="469"/>
      <c r="U25" s="469"/>
      <c r="V25" s="469"/>
      <c r="W25" s="469"/>
    </row>
    <row r="26" spans="2:23" x14ac:dyDescent="0.25">
      <c r="B26" s="413" t="s">
        <v>172</v>
      </c>
      <c r="C26" s="464">
        <v>0.89090277827944997</v>
      </c>
      <c r="D26" s="477">
        <v>0.89066262568680077</v>
      </c>
      <c r="E26" s="476">
        <v>0.889890840728498</v>
      </c>
      <c r="F26" s="476">
        <v>0.88984517044092803</v>
      </c>
      <c r="G26" s="478">
        <v>0.88979445958583059</v>
      </c>
      <c r="H26" s="476">
        <v>0.88979446739831003</v>
      </c>
      <c r="I26" s="476">
        <v>0.88979446606872703</v>
      </c>
      <c r="J26" s="476">
        <v>0.88979446808434703</v>
      </c>
      <c r="K26" s="473">
        <v>97.364997863769503</v>
      </c>
      <c r="L26" s="473">
        <v>97.364997863769503</v>
      </c>
      <c r="M26" s="473">
        <v>97.364997863769503</v>
      </c>
      <c r="N26" s="473">
        <v>97.364997863769503</v>
      </c>
      <c r="O26" s="473">
        <v>97.364997863769503</v>
      </c>
      <c r="P26" s="473">
        <v>97.364997863769503</v>
      </c>
      <c r="Q26" s="473">
        <v>97.364997863769503</v>
      </c>
      <c r="R26" s="473">
        <v>97.364997863769503</v>
      </c>
      <c r="S26" s="473">
        <v>97.364997863769503</v>
      </c>
      <c r="T26" s="473">
        <v>97.364997863769503</v>
      </c>
      <c r="U26" s="473">
        <v>97.364997863769503</v>
      </c>
      <c r="V26" s="473">
        <v>97.364997863769503</v>
      </c>
      <c r="W26" s="473">
        <v>97.364997863769503</v>
      </c>
    </row>
    <row r="27" spans="2:23" x14ac:dyDescent="0.25">
      <c r="B27" s="413"/>
      <c r="C27" s="462"/>
      <c r="D27" s="471"/>
      <c r="E27" s="469"/>
      <c r="F27" s="469"/>
      <c r="G27" s="472"/>
      <c r="H27" s="469"/>
      <c r="I27" s="469"/>
      <c r="J27" s="469"/>
      <c r="K27" s="473">
        <v>111.286003112792</v>
      </c>
      <c r="L27" s="473">
        <v>111.286003112792</v>
      </c>
      <c r="M27" s="473">
        <v>111.286003112792</v>
      </c>
      <c r="N27" s="473">
        <v>111.286003112793</v>
      </c>
      <c r="O27" s="473">
        <v>111.286003112792</v>
      </c>
      <c r="P27" s="473">
        <v>111.286003112792</v>
      </c>
      <c r="Q27" s="473">
        <v>111.286003112793</v>
      </c>
      <c r="R27" s="473">
        <v>111.286003112792</v>
      </c>
      <c r="S27" s="473">
        <v>111.286003112792</v>
      </c>
      <c r="T27" s="473">
        <v>111.286003112792</v>
      </c>
      <c r="U27" s="473">
        <v>111.286003112792</v>
      </c>
      <c r="V27" s="473">
        <v>111.286003112793</v>
      </c>
      <c r="W27" s="473">
        <v>111.286003112793</v>
      </c>
    </row>
    <row r="28" spans="2:23" x14ac:dyDescent="0.25">
      <c r="B28" s="413" t="s">
        <v>173</v>
      </c>
      <c r="C28" s="463">
        <v>97.364997863769503</v>
      </c>
      <c r="D28" s="474">
        <v>97.364997863769503</v>
      </c>
      <c r="E28" s="473">
        <v>97.364997863769503</v>
      </c>
      <c r="F28" s="473">
        <v>97.364997863769503</v>
      </c>
      <c r="G28" s="475">
        <v>97.364997863769503</v>
      </c>
      <c r="H28" s="473">
        <v>97.364997863769503</v>
      </c>
      <c r="I28" s="473">
        <v>97.364997863769503</v>
      </c>
      <c r="J28" s="473">
        <v>97.364997863769503</v>
      </c>
      <c r="K28" s="473">
        <v>125.25299835205</v>
      </c>
      <c r="L28" s="473">
        <v>125.25299835205</v>
      </c>
      <c r="M28" s="473">
        <v>125.25299835205</v>
      </c>
      <c r="N28" s="473">
        <v>125.25299835205099</v>
      </c>
      <c r="O28" s="473">
        <v>125.25299835205</v>
      </c>
      <c r="P28" s="473">
        <v>125.25299835205</v>
      </c>
      <c r="Q28" s="473">
        <v>125.25299835205099</v>
      </c>
      <c r="R28" s="473">
        <v>125.25299835205</v>
      </c>
      <c r="S28" s="473">
        <v>125.25299835205</v>
      </c>
      <c r="T28" s="473">
        <v>125.25299835205</v>
      </c>
      <c r="U28" s="473">
        <v>125.25299835205</v>
      </c>
      <c r="V28" s="473">
        <v>125.25299835205099</v>
      </c>
      <c r="W28" s="473">
        <v>125.25299835205099</v>
      </c>
    </row>
    <row r="29" spans="2:23" x14ac:dyDescent="0.25">
      <c r="B29" s="413" t="s">
        <v>174</v>
      </c>
      <c r="C29" s="463">
        <v>111.286003112792</v>
      </c>
      <c r="D29" s="474">
        <v>111.286003112792</v>
      </c>
      <c r="E29" s="473">
        <v>111.286003112792</v>
      </c>
      <c r="F29" s="473">
        <v>111.286003112792</v>
      </c>
      <c r="G29" s="475">
        <v>111.286003112793</v>
      </c>
      <c r="H29" s="473">
        <v>111.286003112793</v>
      </c>
      <c r="I29" s="473">
        <v>111.286003112793</v>
      </c>
      <c r="J29" s="473">
        <v>111.286003112792</v>
      </c>
      <c r="K29" s="473">
        <v>286.54916712306118</v>
      </c>
      <c r="L29" s="473">
        <v>286.54916597124441</v>
      </c>
      <c r="M29" s="473">
        <v>286.54917231025883</v>
      </c>
      <c r="N29" s="473">
        <v>286.5491699088397</v>
      </c>
      <c r="O29" s="473">
        <v>286.54916828345068</v>
      </c>
      <c r="P29" s="473">
        <v>286.54917012880236</v>
      </c>
      <c r="Q29" s="473">
        <v>286.54917065032976</v>
      </c>
      <c r="R29" s="473">
        <v>286.54917014053729</v>
      </c>
      <c r="S29" s="473">
        <v>286.54917004084848</v>
      </c>
      <c r="T29" s="473">
        <v>286.54917144864254</v>
      </c>
      <c r="U29" s="473">
        <v>286.54917004084854</v>
      </c>
      <c r="V29" s="473">
        <v>286.54916778030531</v>
      </c>
      <c r="W29" s="473">
        <v>286.5491703615636</v>
      </c>
    </row>
    <row r="30" spans="2:23" x14ac:dyDescent="0.25">
      <c r="B30" s="413" t="s">
        <v>175</v>
      </c>
      <c r="C30" s="463">
        <v>125.25299835205</v>
      </c>
      <c r="D30" s="474">
        <v>125.25299835205</v>
      </c>
      <c r="E30" s="473">
        <v>125.25299835205</v>
      </c>
      <c r="F30" s="473">
        <v>125.25299835205</v>
      </c>
      <c r="G30" s="475">
        <v>125.25299835205099</v>
      </c>
      <c r="H30" s="473">
        <v>125.25299835205099</v>
      </c>
      <c r="I30" s="473">
        <v>125.25299835205099</v>
      </c>
      <c r="J30" s="473">
        <v>125.25299835205</v>
      </c>
      <c r="K30" s="473">
        <v>748.78710508346501</v>
      </c>
      <c r="L30" s="473">
        <v>748.78710508346501</v>
      </c>
      <c r="M30" s="473">
        <v>748.78710508346501</v>
      </c>
      <c r="N30" s="473">
        <v>748.78710508346603</v>
      </c>
      <c r="O30" s="473">
        <v>748.78710508346501</v>
      </c>
      <c r="P30" s="473">
        <v>748.78710508346501</v>
      </c>
      <c r="Q30" s="473">
        <v>748.78710508346603</v>
      </c>
      <c r="R30" s="473">
        <v>748.78710508346501</v>
      </c>
      <c r="S30" s="473">
        <v>748.78710508346501</v>
      </c>
      <c r="T30" s="473">
        <v>748.78710508346501</v>
      </c>
      <c r="U30" s="473">
        <v>748.78710508346501</v>
      </c>
      <c r="V30" s="473">
        <v>748.78710508346603</v>
      </c>
      <c r="W30" s="473">
        <v>748.78710508346603</v>
      </c>
    </row>
    <row r="31" spans="2:23" x14ac:dyDescent="0.25">
      <c r="B31" s="413" t="s">
        <v>176</v>
      </c>
      <c r="C31" s="463">
        <v>289.63963387737891</v>
      </c>
      <c r="D31" s="474">
        <v>288.95881020483768</v>
      </c>
      <c r="E31" s="473">
        <v>286.81342143837708</v>
      </c>
      <c r="F31" s="473">
        <v>286.68811721820799</v>
      </c>
      <c r="G31" s="475">
        <v>286.54916999507799</v>
      </c>
      <c r="H31" s="473">
        <v>286.54917135186446</v>
      </c>
      <c r="I31" s="473">
        <v>286.54916992071077</v>
      </c>
      <c r="J31" s="473">
        <v>286.54917354769412</v>
      </c>
      <c r="K31" s="473">
        <v>771.40837907791104</v>
      </c>
      <c r="L31" s="473">
        <v>771.40837907791104</v>
      </c>
      <c r="M31" s="473">
        <v>771.40837907791104</v>
      </c>
      <c r="N31" s="473">
        <v>771.40837907791104</v>
      </c>
      <c r="O31" s="473">
        <v>771.40837907791104</v>
      </c>
      <c r="P31" s="473">
        <v>771.40837907791104</v>
      </c>
      <c r="Q31" s="473">
        <v>771.40837907791104</v>
      </c>
      <c r="R31" s="473">
        <v>771.40837907791104</v>
      </c>
      <c r="S31" s="473">
        <v>771.40837907791104</v>
      </c>
      <c r="T31" s="473">
        <v>771.40837907791104</v>
      </c>
      <c r="U31" s="473">
        <v>771.40837907791104</v>
      </c>
      <c r="V31" s="473">
        <v>771.40837907791104</v>
      </c>
      <c r="W31" s="473">
        <v>771.40837907791104</v>
      </c>
    </row>
    <row r="32" spans="2:23" x14ac:dyDescent="0.25">
      <c r="B32" s="413" t="s">
        <v>177</v>
      </c>
      <c r="C32" s="463">
        <v>748.78710508346501</v>
      </c>
      <c r="D32" s="474">
        <v>748.78710508346501</v>
      </c>
      <c r="E32" s="473">
        <v>748.78710508346501</v>
      </c>
      <c r="F32" s="473">
        <v>748.78710508346501</v>
      </c>
      <c r="G32" s="475">
        <v>748.78710508346603</v>
      </c>
      <c r="H32" s="473">
        <v>748.78710508346603</v>
      </c>
      <c r="I32" s="473">
        <v>748.78710508346603</v>
      </c>
      <c r="J32" s="473">
        <v>748.78710508346501</v>
      </c>
      <c r="K32" s="473">
        <v>788.64026069641102</v>
      </c>
      <c r="L32" s="473">
        <v>788.64026069641102</v>
      </c>
      <c r="M32" s="473">
        <v>788.64026069641102</v>
      </c>
      <c r="N32" s="473">
        <v>788.64026069641102</v>
      </c>
      <c r="O32" s="473">
        <v>788.64026069641102</v>
      </c>
      <c r="P32" s="473">
        <v>788.64026069641102</v>
      </c>
      <c r="Q32" s="473">
        <v>788.64026069641102</v>
      </c>
      <c r="R32" s="473">
        <v>788.64026069641102</v>
      </c>
      <c r="S32" s="473">
        <v>788.64026069641102</v>
      </c>
      <c r="T32" s="473">
        <v>788.64026069641102</v>
      </c>
      <c r="U32" s="473">
        <v>788.64026069641102</v>
      </c>
      <c r="V32" s="473">
        <v>788.64026069641102</v>
      </c>
      <c r="W32" s="473">
        <v>788.64026069641102</v>
      </c>
    </row>
    <row r="33" spans="2:23" x14ac:dyDescent="0.25">
      <c r="B33" s="413" t="s">
        <v>178</v>
      </c>
      <c r="C33" s="463">
        <v>771.40837907791104</v>
      </c>
      <c r="D33" s="474">
        <v>771.40837907791104</v>
      </c>
      <c r="E33" s="473">
        <v>771.40837907791104</v>
      </c>
      <c r="F33" s="473">
        <v>771.40837907791104</v>
      </c>
      <c r="G33" s="475">
        <v>771.40837907791104</v>
      </c>
      <c r="H33" s="473">
        <v>771.40837907791104</v>
      </c>
      <c r="I33" s="473">
        <v>771.40837907791104</v>
      </c>
      <c r="J33" s="473">
        <v>771.40837907791104</v>
      </c>
      <c r="K33" s="473">
        <v>889.79446250324372</v>
      </c>
      <c r="L33" s="473">
        <v>889.79446363795216</v>
      </c>
      <c r="M33" s="473">
        <v>889.7944666429031</v>
      </c>
      <c r="N33" s="473">
        <v>889.79446439067635</v>
      </c>
      <c r="O33" s="473">
        <v>889.79446275397561</v>
      </c>
      <c r="P33" s="473">
        <v>889.79446409950242</v>
      </c>
      <c r="Q33" s="473">
        <v>889.79446732914346</v>
      </c>
      <c r="R33" s="473">
        <v>889.79446468769481</v>
      </c>
      <c r="S33" s="473">
        <v>889.79446438360571</v>
      </c>
      <c r="T33" s="473">
        <v>889.79446784111803</v>
      </c>
      <c r="U33" s="473">
        <v>889.79446483063839</v>
      </c>
      <c r="V33" s="473">
        <v>866.73590096646183</v>
      </c>
      <c r="W33" s="473">
        <v>889.79446675397537</v>
      </c>
    </row>
    <row r="34" spans="2:23" x14ac:dyDescent="0.25">
      <c r="B34" s="413" t="s">
        <v>179</v>
      </c>
      <c r="C34" s="463">
        <v>788.64026069641102</v>
      </c>
      <c r="D34" s="474">
        <v>788.64026069641102</v>
      </c>
      <c r="E34" s="473">
        <v>788.64026069641102</v>
      </c>
      <c r="F34" s="473">
        <v>788.64026069641102</v>
      </c>
      <c r="G34" s="475">
        <v>788.64026069641102</v>
      </c>
      <c r="H34" s="473">
        <v>788.64026069641102</v>
      </c>
      <c r="I34" s="473">
        <v>788.64026069641102</v>
      </c>
      <c r="J34" s="473">
        <v>788.64026069641102</v>
      </c>
    </row>
    <row r="35" spans="2:23" ht="15.75" thickBot="1" x14ac:dyDescent="0.3">
      <c r="B35" s="414" t="s">
        <v>180</v>
      </c>
      <c r="C35" s="479">
        <v>890.90277827944999</v>
      </c>
      <c r="D35" s="474">
        <v>890.66262568680077</v>
      </c>
      <c r="E35" s="473">
        <v>889.89084072849835</v>
      </c>
      <c r="F35" s="473">
        <v>889.84517044092809</v>
      </c>
      <c r="G35" s="475">
        <v>889.79445958583062</v>
      </c>
      <c r="H35" s="473">
        <v>889.79446739830996</v>
      </c>
      <c r="I35" s="473">
        <v>889.79446606872682</v>
      </c>
      <c r="J35" s="473">
        <v>889.79446808434739</v>
      </c>
    </row>
    <row r="37" spans="2:23" x14ac:dyDescent="0.25">
      <c r="K37" s="410"/>
      <c r="L37" s="410"/>
      <c r="M37" s="410"/>
      <c r="N37" s="410"/>
      <c r="O37" s="410"/>
      <c r="P37" s="410"/>
      <c r="Q37" s="410"/>
      <c r="R37" s="410"/>
    </row>
    <row r="39" spans="2:23" x14ac:dyDescent="0.25">
      <c r="C39" s="410"/>
      <c r="D39" s="410"/>
      <c r="E39" s="410"/>
      <c r="F39" s="410"/>
      <c r="G39" s="410"/>
      <c r="H39" s="410"/>
      <c r="I39" s="410"/>
      <c r="J39" s="410"/>
    </row>
  </sheetData>
  <mergeCells count="3">
    <mergeCell ref="C6:W6"/>
    <mergeCell ref="A2:W2"/>
    <mergeCell ref="B1:L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3BF96-0449-4677-A006-76B8A66EBA2A}">
  <sheetPr codeName="Sheet3">
    <tabColor theme="6"/>
    <pageSetUpPr fitToPage="1"/>
  </sheetPr>
  <dimension ref="A1:J50"/>
  <sheetViews>
    <sheetView showGridLines="0" zoomScaleNormal="100" zoomScaleSheetLayoutView="100" workbookViewId="0">
      <selection activeCell="A10" sqref="A10:J10"/>
    </sheetView>
  </sheetViews>
  <sheetFormatPr defaultColWidth="9.140625" defaultRowHeight="14.25" x14ac:dyDescent="0.2"/>
  <cols>
    <col min="1" max="1" width="40.85546875" style="332" customWidth="1"/>
    <col min="2" max="2" width="19.42578125" style="332" customWidth="1"/>
    <col min="3" max="3" width="18.28515625" style="332" customWidth="1"/>
    <col min="4" max="4" width="19.7109375" style="332" customWidth="1"/>
    <col min="5" max="5" width="14.5703125" style="332" customWidth="1"/>
    <col min="6" max="16384" width="9.140625" style="332"/>
  </cols>
  <sheetData>
    <row r="1" spans="1:10" ht="61.5" customHeight="1" x14ac:dyDescent="0.25">
      <c r="A1" s="13"/>
      <c r="B1" s="772" t="s">
        <v>79</v>
      </c>
      <c r="C1" s="772"/>
      <c r="D1" s="772"/>
      <c r="E1" s="13"/>
      <c r="F1" s="13"/>
      <c r="G1" s="13"/>
      <c r="H1" s="13"/>
      <c r="I1" s="13"/>
      <c r="J1" s="13"/>
    </row>
    <row r="2" spans="1:10" ht="18.75" x14ac:dyDescent="0.3">
      <c r="A2" s="773" t="s">
        <v>151</v>
      </c>
      <c r="B2" s="774"/>
      <c r="C2" s="774"/>
      <c r="D2" s="774"/>
      <c r="E2" s="774"/>
      <c r="F2" s="774"/>
      <c r="G2" s="774"/>
      <c r="H2" s="774"/>
      <c r="I2" s="774"/>
      <c r="J2" s="774"/>
    </row>
    <row r="4" spans="1:10" ht="18.75" customHeight="1" thickBot="1" x14ac:dyDescent="0.3">
      <c r="A4" s="775" t="s">
        <v>181</v>
      </c>
      <c r="B4" s="776"/>
      <c r="C4" s="776"/>
      <c r="D4" s="776"/>
      <c r="E4" s="776"/>
      <c r="F4" s="776"/>
      <c r="G4" s="776"/>
      <c r="H4" s="776"/>
      <c r="I4" s="776"/>
      <c r="J4" s="776"/>
    </row>
    <row r="5" spans="1:10" ht="15" x14ac:dyDescent="0.2">
      <c r="A5" s="782" t="s">
        <v>182</v>
      </c>
      <c r="B5" s="783"/>
      <c r="C5" s="783"/>
      <c r="D5" s="783"/>
      <c r="E5" s="783"/>
      <c r="F5" s="783"/>
      <c r="G5" s="783"/>
      <c r="H5" s="783"/>
      <c r="I5" s="783"/>
      <c r="J5" s="784"/>
    </row>
    <row r="7" spans="1:10" ht="15" x14ac:dyDescent="0.25">
      <c r="A7" s="775" t="s">
        <v>183</v>
      </c>
      <c r="B7" s="776"/>
      <c r="C7" s="776"/>
      <c r="D7" s="776"/>
    </row>
    <row r="8" spans="1:10" x14ac:dyDescent="0.2">
      <c r="A8" s="333"/>
      <c r="B8" s="333"/>
      <c r="C8" s="333"/>
      <c r="D8" s="333"/>
      <c r="E8" s="334"/>
    </row>
    <row r="9" spans="1:10" x14ac:dyDescent="0.2">
      <c r="A9" s="335" t="s">
        <v>184</v>
      </c>
      <c r="B9" s="687" t="s">
        <v>185</v>
      </c>
      <c r="C9" s="687" t="s">
        <v>186</v>
      </c>
      <c r="D9" s="336"/>
      <c r="E9" s="334"/>
    </row>
    <row r="10" spans="1:10" x14ac:dyDescent="0.2">
      <c r="A10" s="334" t="s">
        <v>187</v>
      </c>
      <c r="B10" s="688">
        <v>7984.9599999999991</v>
      </c>
      <c r="C10" s="688">
        <v>7984.9599999999991</v>
      </c>
      <c r="D10" s="336"/>
      <c r="E10" s="334"/>
    </row>
    <row r="11" spans="1:10" x14ac:dyDescent="0.2">
      <c r="A11" s="334"/>
      <c r="B11" s="336"/>
      <c r="C11" s="336"/>
      <c r="D11" s="336"/>
      <c r="E11" s="334"/>
    </row>
    <row r="12" spans="1:10" x14ac:dyDescent="0.2">
      <c r="A12" s="335" t="s">
        <v>188</v>
      </c>
      <c r="B12" s="336"/>
      <c r="C12" s="336"/>
      <c r="D12" s="336"/>
      <c r="E12" s="334"/>
    </row>
    <row r="13" spans="1:10" x14ac:dyDescent="0.2">
      <c r="A13" s="334"/>
      <c r="B13" s="336"/>
      <c r="C13" s="336"/>
      <c r="D13" s="336"/>
      <c r="E13" s="334"/>
    </row>
    <row r="14" spans="1:10" x14ac:dyDescent="0.2">
      <c r="A14" s="334"/>
      <c r="B14" s="336"/>
      <c r="C14" s="336"/>
      <c r="D14" s="336"/>
      <c r="E14" s="334"/>
    </row>
    <row r="15" spans="1:10" ht="56.25" customHeight="1" x14ac:dyDescent="0.2">
      <c r="A15" s="334"/>
      <c r="B15" s="336"/>
      <c r="C15" s="336"/>
      <c r="D15" s="336"/>
      <c r="E15" s="334"/>
    </row>
    <row r="16" spans="1:10" x14ac:dyDescent="0.2">
      <c r="A16" s="338" t="s">
        <v>131</v>
      </c>
      <c r="B16" s="339"/>
      <c r="C16" s="339"/>
      <c r="D16" s="339"/>
      <c r="E16" s="334"/>
    </row>
    <row r="17" spans="1:6" ht="62.25" customHeight="1" x14ac:dyDescent="0.35">
      <c r="A17" s="781" t="s">
        <v>189</v>
      </c>
      <c r="B17" s="781"/>
      <c r="C17" s="781"/>
      <c r="D17" s="781"/>
      <c r="E17" s="334"/>
      <c r="F17" s="593"/>
    </row>
    <row r="18" spans="1:6" x14ac:dyDescent="0.2">
      <c r="B18" s="340"/>
      <c r="C18" s="340"/>
      <c r="D18" s="340"/>
    </row>
    <row r="19" spans="1:6" ht="15" customHeight="1" x14ac:dyDescent="0.25">
      <c r="A19" s="775" t="s">
        <v>190</v>
      </c>
      <c r="B19" s="776"/>
      <c r="C19" s="776"/>
      <c r="D19" s="776"/>
    </row>
    <row r="21" spans="1:6" x14ac:dyDescent="0.2">
      <c r="A21" s="689" t="s">
        <v>191</v>
      </c>
      <c r="B21" s="687" t="s">
        <v>185</v>
      </c>
      <c r="C21" s="687" t="s">
        <v>186</v>
      </c>
      <c r="D21" s="687" t="s">
        <v>192</v>
      </c>
      <c r="F21" s="341"/>
    </row>
    <row r="22" spans="1:6" x14ac:dyDescent="0.2">
      <c r="A22" s="689" t="s">
        <v>193</v>
      </c>
      <c r="B22" s="688">
        <v>795.59427594747171</v>
      </c>
      <c r="C22" s="690" t="s">
        <v>12</v>
      </c>
      <c r="D22" s="690" t="s">
        <v>12</v>
      </c>
    </row>
    <row r="23" spans="1:6" x14ac:dyDescent="0.2">
      <c r="A23" s="691"/>
      <c r="B23" s="687"/>
      <c r="C23" s="687"/>
      <c r="D23" s="687"/>
    </row>
    <row r="24" spans="1:6" x14ac:dyDescent="0.2">
      <c r="A24" s="691" t="s">
        <v>194</v>
      </c>
      <c r="B24" s="688">
        <v>7984.9600000000009</v>
      </c>
      <c r="C24" s="688">
        <v>7984.9569999999994</v>
      </c>
      <c r="D24" s="692">
        <f>(C24-B24)/C24</f>
        <v>-3.757064692421857E-7</v>
      </c>
    </row>
    <row r="25" spans="1:6" x14ac:dyDescent="0.2">
      <c r="A25" s="691" t="s">
        <v>195</v>
      </c>
      <c r="B25" s="688">
        <v>6462.8740278250834</v>
      </c>
      <c r="C25" s="688">
        <v>6461.4359999999997</v>
      </c>
      <c r="D25" s="692">
        <f>(C25-B25)/C25</f>
        <v>-2.2255545440421238E-4</v>
      </c>
    </row>
    <row r="26" spans="1:6" x14ac:dyDescent="0.2">
      <c r="A26" s="691" t="s">
        <v>196</v>
      </c>
      <c r="B26" s="688">
        <v>1522.0859721749171</v>
      </c>
      <c r="C26" s="688">
        <v>1523.521</v>
      </c>
      <c r="D26" s="692">
        <f>(C26-B26)/C26</f>
        <v>9.4191535599633862E-4</v>
      </c>
    </row>
    <row r="27" spans="1:6" x14ac:dyDescent="0.2">
      <c r="A27" s="691"/>
      <c r="B27" s="688"/>
      <c r="C27" s="688"/>
      <c r="D27" s="692"/>
    </row>
    <row r="28" spans="1:6" x14ac:dyDescent="0.2">
      <c r="A28" s="693" t="s">
        <v>131</v>
      </c>
      <c r="B28" s="694"/>
      <c r="C28" s="694"/>
      <c r="D28" s="694"/>
    </row>
    <row r="29" spans="1:6" ht="48" customHeight="1" x14ac:dyDescent="0.2">
      <c r="A29" s="785" t="s">
        <v>197</v>
      </c>
      <c r="B29" s="785"/>
      <c r="C29" s="785"/>
      <c r="D29" s="785"/>
    </row>
    <row r="31" spans="1:6" ht="15" customHeight="1" x14ac:dyDescent="0.25">
      <c r="A31" s="775" t="s">
        <v>198</v>
      </c>
      <c r="B31" s="776"/>
      <c r="C31" s="776"/>
      <c r="D31" s="776"/>
    </row>
    <row r="33" spans="1:5" ht="16.5" x14ac:dyDescent="0.2">
      <c r="A33" s="335" t="s">
        <v>191</v>
      </c>
      <c r="B33" s="336" t="s">
        <v>185</v>
      </c>
      <c r="C33" s="334"/>
      <c r="D33" s="534"/>
      <c r="E33" s="334"/>
    </row>
    <row r="34" spans="1:5" ht="16.5" x14ac:dyDescent="0.2">
      <c r="A34" s="334" t="s">
        <v>199</v>
      </c>
      <c r="B34" s="337">
        <v>8.1233289670522826</v>
      </c>
      <c r="C34" s="334"/>
      <c r="D34" s="534"/>
      <c r="E34" s="334"/>
    </row>
    <row r="35" spans="1:5" ht="6.75" customHeight="1" x14ac:dyDescent="0.2">
      <c r="A35" s="334"/>
      <c r="B35" s="337"/>
      <c r="C35" s="334"/>
      <c r="D35" s="334"/>
      <c r="E35" s="334"/>
    </row>
    <row r="36" spans="1:5" x14ac:dyDescent="0.2">
      <c r="A36" s="335" t="s">
        <v>200</v>
      </c>
      <c r="B36" s="336" t="s">
        <v>185</v>
      </c>
      <c r="C36" s="334"/>
      <c r="D36" s="334"/>
      <c r="E36" s="334"/>
    </row>
    <row r="37" spans="1:5" ht="16.5" x14ac:dyDescent="0.2">
      <c r="A37" s="334" t="s">
        <v>199</v>
      </c>
      <c r="B37" s="337">
        <v>7.08391236632625</v>
      </c>
      <c r="C37" s="334"/>
      <c r="D37" s="534" t="s">
        <v>201</v>
      </c>
    </row>
    <row r="38" spans="1:5" x14ac:dyDescent="0.2">
      <c r="A38" s="334" t="s">
        <v>202</v>
      </c>
      <c r="B38" s="337">
        <v>2198.4094863153168</v>
      </c>
      <c r="C38" s="334"/>
      <c r="D38" s="332" t="s">
        <v>203</v>
      </c>
      <c r="E38" s="332">
        <f>B41/B38</f>
        <v>0.86559236189641398</v>
      </c>
    </row>
    <row r="39" spans="1:5" ht="6.75" customHeight="1" x14ac:dyDescent="0.2">
      <c r="A39" s="334"/>
      <c r="B39" s="337"/>
      <c r="C39" s="334"/>
      <c r="D39" s="334"/>
      <c r="E39" s="334"/>
    </row>
    <row r="40" spans="1:5" x14ac:dyDescent="0.2">
      <c r="A40" s="334" t="s">
        <v>204</v>
      </c>
      <c r="B40" s="337">
        <v>6082.0335403248428</v>
      </c>
      <c r="C40" s="334"/>
      <c r="D40" s="334"/>
      <c r="E40" s="334"/>
    </row>
    <row r="41" spans="1:5" x14ac:dyDescent="0.2">
      <c r="A41" s="334" t="s">
        <v>205</v>
      </c>
      <c r="B41" s="337">
        <v>1902.9264596751573</v>
      </c>
      <c r="C41" s="334"/>
      <c r="D41" s="334"/>
      <c r="E41" s="334"/>
    </row>
    <row r="42" spans="1:5" ht="6.75" customHeight="1" x14ac:dyDescent="0.2">
      <c r="A42" s="334"/>
      <c r="B42" s="337"/>
      <c r="C42" s="334"/>
      <c r="D42" s="334"/>
      <c r="E42" s="334"/>
    </row>
    <row r="43" spans="1:5" x14ac:dyDescent="0.2">
      <c r="A43" s="334" t="s">
        <v>206</v>
      </c>
      <c r="B43" s="337">
        <v>380.84048750024022</v>
      </c>
      <c r="C43" s="334"/>
      <c r="D43" s="334"/>
      <c r="E43" s="334"/>
    </row>
    <row r="44" spans="1:5" x14ac:dyDescent="0.2">
      <c r="A44" s="334" t="s">
        <v>207</v>
      </c>
      <c r="B44" s="342">
        <v>439.97671914047646</v>
      </c>
      <c r="C44" s="334"/>
      <c r="D44" s="334"/>
      <c r="E44" s="334"/>
    </row>
    <row r="45" spans="1:5" x14ac:dyDescent="0.2">
      <c r="A45" s="334"/>
      <c r="B45" s="334"/>
      <c r="C45" s="334"/>
      <c r="D45" s="334"/>
      <c r="E45" s="334"/>
    </row>
    <row r="46" spans="1:5" x14ac:dyDescent="0.2">
      <c r="A46" s="335" t="s">
        <v>208</v>
      </c>
      <c r="B46" s="512">
        <v>0.87204548714673003</v>
      </c>
      <c r="C46" s="334"/>
      <c r="D46" s="334"/>
      <c r="E46" s="334"/>
    </row>
    <row r="47" spans="1:5" x14ac:dyDescent="0.2">
      <c r="A47" s="335" t="s">
        <v>209</v>
      </c>
      <c r="B47" s="511">
        <v>62.109283174073262</v>
      </c>
      <c r="C47" s="334"/>
      <c r="D47" s="334"/>
      <c r="E47" s="334"/>
    </row>
    <row r="48" spans="1:5" x14ac:dyDescent="0.2">
      <c r="A48" s="334"/>
      <c r="B48" s="334"/>
      <c r="C48" s="334"/>
      <c r="D48" s="334"/>
      <c r="E48" s="334"/>
    </row>
    <row r="49" spans="1:5" x14ac:dyDescent="0.2">
      <c r="A49" s="338" t="s">
        <v>131</v>
      </c>
      <c r="B49" s="339"/>
      <c r="C49" s="339"/>
      <c r="D49" s="339"/>
      <c r="E49" s="334"/>
    </row>
    <row r="50" spans="1:5" ht="46.5" customHeight="1" x14ac:dyDescent="0.2">
      <c r="A50" s="781" t="s">
        <v>210</v>
      </c>
      <c r="B50" s="781"/>
      <c r="C50" s="781"/>
      <c r="D50" s="781"/>
      <c r="E50" s="334"/>
    </row>
  </sheetData>
  <mergeCells count="10">
    <mergeCell ref="A50:D50"/>
    <mergeCell ref="B1:D1"/>
    <mergeCell ref="A2:J2"/>
    <mergeCell ref="A4:J4"/>
    <mergeCell ref="A5:J5"/>
    <mergeCell ref="A7:D7"/>
    <mergeCell ref="A17:D17"/>
    <mergeCell ref="A19:D19"/>
    <mergeCell ref="A29:D29"/>
    <mergeCell ref="A31:D31"/>
  </mergeCells>
  <pageMargins left="0.7" right="0.7" top="0.75" bottom="0.75" header="0.3" footer="0.3"/>
  <pageSetup paperSize="9" scale="96" fitToWidth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8BC1A-0B2E-461F-B129-1C5046B38094}">
  <sheetPr codeName="Sheet5">
    <tabColor theme="6"/>
    <pageSetUpPr fitToPage="1"/>
  </sheetPr>
  <dimension ref="A1:AA91"/>
  <sheetViews>
    <sheetView showGridLines="0" view="pageBreakPreview" topLeftCell="A38" zoomScale="115" zoomScaleNormal="100" zoomScaleSheetLayoutView="115" workbookViewId="0">
      <selection activeCell="A10" sqref="A10:J10"/>
    </sheetView>
  </sheetViews>
  <sheetFormatPr defaultColWidth="9.140625" defaultRowHeight="15" x14ac:dyDescent="0.25"/>
  <cols>
    <col min="1" max="1" width="38.140625" style="480" customWidth="1"/>
    <col min="2" max="2" width="8" style="480" customWidth="1"/>
    <col min="3" max="16384" width="9.140625" style="480"/>
  </cols>
  <sheetData>
    <row r="1" spans="1:27" ht="54" customHeight="1" x14ac:dyDescent="0.25">
      <c r="A1" s="13"/>
      <c r="B1" s="772" t="s">
        <v>79</v>
      </c>
      <c r="C1" s="772"/>
      <c r="D1" s="772"/>
      <c r="E1" s="772"/>
      <c r="F1" s="772"/>
      <c r="G1" s="772"/>
      <c r="H1" s="772"/>
      <c r="I1" s="772"/>
      <c r="J1" s="772"/>
    </row>
    <row r="2" spans="1:27" ht="18.75" x14ac:dyDescent="0.3">
      <c r="A2" s="773" t="s">
        <v>151</v>
      </c>
      <c r="B2" s="774"/>
      <c r="C2" s="774"/>
      <c r="D2" s="774"/>
      <c r="E2" s="774"/>
      <c r="F2" s="774"/>
      <c r="G2" s="774"/>
      <c r="H2" s="774"/>
      <c r="I2" s="774"/>
      <c r="J2" s="774"/>
    </row>
    <row r="3" spans="1:27" x14ac:dyDescent="0.25">
      <c r="A3" s="795" t="s">
        <v>211</v>
      </c>
      <c r="B3" s="795"/>
      <c r="C3" s="795"/>
      <c r="D3" s="795"/>
      <c r="E3" s="488"/>
      <c r="F3" s="488"/>
      <c r="G3" s="488"/>
      <c r="H3" s="488"/>
      <c r="I3" s="488"/>
      <c r="J3" s="488"/>
    </row>
    <row r="4" spans="1:27" ht="11.25" customHeight="1" x14ac:dyDescent="0.25">
      <c r="A4" s="775" t="s">
        <v>212</v>
      </c>
      <c r="B4" s="776"/>
      <c r="C4" s="776"/>
      <c r="D4" s="776"/>
      <c r="E4" s="489"/>
      <c r="F4" s="489"/>
      <c r="G4" s="489"/>
      <c r="H4" s="489"/>
      <c r="I4" s="489"/>
      <c r="J4" s="489"/>
    </row>
    <row r="6" spans="1:27" ht="15.75" x14ac:dyDescent="0.25">
      <c r="A6" s="490" t="s">
        <v>213</v>
      </c>
      <c r="B6" s="481"/>
      <c r="C6" s="481"/>
      <c r="D6" s="481"/>
      <c r="E6" s="481"/>
      <c r="F6" s="481"/>
      <c r="G6" s="481"/>
      <c r="H6" s="481"/>
      <c r="I6" s="481"/>
      <c r="J6" s="481"/>
      <c r="K6" s="481"/>
      <c r="L6" s="481"/>
      <c r="M6" s="481"/>
      <c r="N6" s="481"/>
      <c r="O6" s="481"/>
      <c r="P6" s="481"/>
      <c r="Q6" s="481"/>
      <c r="R6" s="481"/>
      <c r="S6" s="481"/>
      <c r="T6" s="481"/>
      <c r="U6" s="481"/>
      <c r="V6" s="481"/>
      <c r="W6" s="481"/>
      <c r="X6" s="481"/>
      <c r="Y6" s="481"/>
      <c r="Z6" s="481"/>
      <c r="AA6" s="481"/>
    </row>
    <row r="7" spans="1:27" x14ac:dyDescent="0.25">
      <c r="A7" s="775" t="s">
        <v>214</v>
      </c>
      <c r="B7" s="775"/>
      <c r="C7" s="775"/>
      <c r="D7" s="775"/>
      <c r="E7" s="775"/>
      <c r="F7" s="775"/>
      <c r="G7" s="775"/>
      <c r="H7" s="775"/>
      <c r="I7" s="49"/>
      <c r="J7" s="42"/>
      <c r="K7" s="481"/>
      <c r="L7" s="481"/>
      <c r="M7" s="481"/>
      <c r="N7" s="481"/>
      <c r="O7" s="481"/>
      <c r="P7" s="481"/>
      <c r="Q7" s="481"/>
      <c r="R7" s="481"/>
      <c r="S7" s="481"/>
      <c r="T7" s="481"/>
      <c r="U7" s="481"/>
      <c r="V7" s="481"/>
      <c r="W7" s="481"/>
      <c r="X7" s="481"/>
      <c r="Y7" s="481"/>
      <c r="Z7" s="481"/>
      <c r="AA7" s="481"/>
    </row>
    <row r="8" spans="1:27" x14ac:dyDescent="0.25">
      <c r="A8" s="695" t="s">
        <v>215</v>
      </c>
      <c r="B8" s="481"/>
      <c r="C8" s="481"/>
      <c r="D8" s="481"/>
      <c r="E8" s="481"/>
      <c r="F8" s="481"/>
      <c r="G8" s="481"/>
      <c r="H8" s="481"/>
      <c r="I8" s="481"/>
      <c r="J8" s="481"/>
      <c r="K8" s="481"/>
      <c r="L8" s="481"/>
      <c r="M8" s="481"/>
      <c r="N8" s="481"/>
      <c r="O8" s="481"/>
      <c r="P8" s="481"/>
      <c r="Q8" s="481"/>
      <c r="R8" s="481"/>
      <c r="S8" s="481"/>
      <c r="T8" s="481"/>
      <c r="U8" s="481"/>
      <c r="V8" s="481"/>
      <c r="W8" s="481"/>
      <c r="X8" s="481"/>
      <c r="Y8" s="481"/>
      <c r="Z8" s="481"/>
      <c r="AA8" s="481"/>
    </row>
    <row r="9" spans="1:27" x14ac:dyDescent="0.25">
      <c r="A9" s="787" t="s">
        <v>216</v>
      </c>
      <c r="B9" s="787"/>
      <c r="C9" s="787"/>
      <c r="D9" s="787"/>
      <c r="E9" s="787"/>
      <c r="F9" s="787"/>
      <c r="G9" s="787"/>
      <c r="H9" s="787"/>
      <c r="I9" s="787"/>
      <c r="J9" s="787"/>
      <c r="K9" s="787"/>
      <c r="L9" s="481"/>
      <c r="M9" s="481"/>
      <c r="N9" s="481"/>
      <c r="O9" s="481"/>
      <c r="P9" s="481"/>
      <c r="Q9" s="481"/>
      <c r="R9" s="481"/>
      <c r="S9" s="481"/>
      <c r="T9" s="481"/>
      <c r="U9" s="481"/>
      <c r="V9" s="481"/>
      <c r="W9" s="481"/>
      <c r="X9" s="481"/>
      <c r="Y9" s="481"/>
      <c r="Z9" s="481"/>
      <c r="AA9" s="481"/>
    </row>
    <row r="10" spans="1:27" x14ac:dyDescent="0.25">
      <c r="A10" s="481"/>
      <c r="B10" s="481"/>
      <c r="C10" s="481"/>
      <c r="D10" s="481"/>
      <c r="E10" s="481"/>
      <c r="F10" s="481"/>
      <c r="G10" s="481"/>
      <c r="H10" s="481"/>
      <c r="I10" s="481"/>
      <c r="J10" s="481"/>
      <c r="K10" s="481"/>
      <c r="L10" s="481"/>
      <c r="M10" s="481"/>
      <c r="N10" s="481"/>
      <c r="O10" s="481"/>
      <c r="P10" s="481"/>
      <c r="Q10" s="481"/>
      <c r="R10" s="481"/>
      <c r="S10" s="481"/>
      <c r="T10" s="481"/>
      <c r="U10" s="481"/>
      <c r="V10" s="481"/>
      <c r="W10" s="481"/>
      <c r="X10" s="481"/>
      <c r="Y10" s="481"/>
      <c r="Z10" s="481"/>
      <c r="AA10" s="481"/>
    </row>
    <row r="11" spans="1:27" x14ac:dyDescent="0.25">
      <c r="A11" s="788" t="s">
        <v>217</v>
      </c>
      <c r="B11" s="788"/>
      <c r="C11" s="788"/>
      <c r="D11" s="491"/>
      <c r="E11" s="491"/>
      <c r="F11" s="491"/>
      <c r="G11" s="491"/>
      <c r="H11" s="491"/>
      <c r="I11" s="491"/>
      <c r="J11" s="491"/>
      <c r="K11" s="481"/>
      <c r="L11" s="481"/>
      <c r="M11" s="481"/>
      <c r="N11" s="481"/>
      <c r="O11" s="481"/>
      <c r="P11" s="481"/>
      <c r="Q11" s="481"/>
      <c r="R11" s="481"/>
      <c r="S11" s="481"/>
      <c r="T11" s="481"/>
      <c r="U11" s="481"/>
      <c r="V11" s="481"/>
      <c r="W11" s="481"/>
      <c r="X11" s="481"/>
      <c r="Y11" s="481"/>
      <c r="Z11" s="481"/>
      <c r="AA11" s="481"/>
    </row>
    <row r="12" spans="1:27" x14ac:dyDescent="0.25">
      <c r="A12" s="495" t="s">
        <v>218</v>
      </c>
      <c r="B12" s="502">
        <v>310.33832332053839</v>
      </c>
      <c r="C12" s="495" t="s">
        <v>99</v>
      </c>
      <c r="D12" s="481"/>
      <c r="E12" s="481"/>
      <c r="F12" s="481"/>
      <c r="G12" s="481"/>
      <c r="H12" s="481"/>
      <c r="I12" s="481"/>
      <c r="J12" s="481"/>
      <c r="K12" s="481"/>
      <c r="L12" s="481"/>
      <c r="M12" s="481"/>
      <c r="N12" s="481"/>
      <c r="O12" s="481"/>
      <c r="P12" s="481"/>
      <c r="Q12" s="481"/>
      <c r="R12" s="481"/>
      <c r="S12" s="481"/>
      <c r="T12" s="481"/>
      <c r="U12" s="481"/>
      <c r="V12" s="481"/>
      <c r="W12" s="481"/>
      <c r="X12" s="481"/>
      <c r="Y12" s="481"/>
      <c r="Z12" s="481"/>
      <c r="AA12" s="481"/>
    </row>
    <row r="13" spans="1:27" x14ac:dyDescent="0.25">
      <c r="A13" s="495" t="s">
        <v>219</v>
      </c>
      <c r="B13" s="503">
        <v>1.7570389901483929</v>
      </c>
      <c r="C13" s="495" t="s">
        <v>220</v>
      </c>
      <c r="D13" s="481"/>
      <c r="E13" s="481"/>
      <c r="F13" s="481"/>
      <c r="G13" s="481"/>
      <c r="H13" s="481"/>
      <c r="I13" s="481"/>
      <c r="J13" s="481"/>
      <c r="K13" s="481"/>
      <c r="L13" s="481"/>
      <c r="M13" s="481"/>
      <c r="N13" s="481"/>
      <c r="O13" s="481"/>
      <c r="P13" s="481"/>
      <c r="Q13" s="481"/>
      <c r="R13" s="481"/>
      <c r="S13" s="481"/>
      <c r="T13" s="481"/>
      <c r="U13" s="481"/>
      <c r="V13" s="481"/>
      <c r="W13" s="481"/>
      <c r="X13" s="481"/>
      <c r="Y13" s="481"/>
      <c r="Z13" s="481"/>
      <c r="AA13" s="481"/>
    </row>
    <row r="14" spans="1:27" x14ac:dyDescent="0.25">
      <c r="A14" s="495" t="s">
        <v>221</v>
      </c>
      <c r="B14" s="509"/>
      <c r="C14" s="495" t="s">
        <v>220</v>
      </c>
      <c r="D14" s="481"/>
      <c r="E14" s="481"/>
      <c r="F14" s="481"/>
      <c r="G14" s="481"/>
      <c r="H14" s="481"/>
      <c r="I14" s="481"/>
      <c r="J14" s="481"/>
      <c r="K14" s="481"/>
      <c r="L14" s="481"/>
      <c r="M14" s="481"/>
      <c r="N14" s="481"/>
      <c r="O14" s="481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81"/>
      <c r="AA14" s="481"/>
    </row>
    <row r="15" spans="1:27" x14ac:dyDescent="0.25">
      <c r="A15" s="495" t="s">
        <v>222</v>
      </c>
      <c r="B15" s="509"/>
      <c r="C15" s="495" t="s">
        <v>99</v>
      </c>
      <c r="D15" s="481"/>
      <c r="E15" s="481"/>
      <c r="F15" s="481"/>
      <c r="G15" s="481"/>
      <c r="H15" s="481"/>
      <c r="I15" s="481"/>
      <c r="J15" s="481"/>
      <c r="K15" s="481"/>
      <c r="L15" s="481"/>
      <c r="M15" s="481"/>
      <c r="N15" s="481"/>
      <c r="O15" s="481"/>
      <c r="P15" s="481"/>
      <c r="Q15" s="481"/>
      <c r="R15" s="481"/>
      <c r="S15" s="481"/>
      <c r="T15" s="481"/>
      <c r="U15" s="481"/>
      <c r="V15" s="481"/>
      <c r="W15" s="481"/>
      <c r="X15" s="481"/>
      <c r="Y15" s="481"/>
      <c r="Z15" s="481"/>
      <c r="AA15" s="481"/>
    </row>
    <row r="16" spans="1:27" x14ac:dyDescent="0.25">
      <c r="A16" s="495" t="s">
        <v>223</v>
      </c>
      <c r="B16" s="501">
        <v>33.308956279058492</v>
      </c>
      <c r="C16" s="495" t="s">
        <v>224</v>
      </c>
      <c r="D16" s="481"/>
      <c r="E16" s="481"/>
      <c r="F16" s="481"/>
      <c r="G16" s="481"/>
      <c r="H16" s="481"/>
      <c r="I16" s="481"/>
      <c r="J16" s="481"/>
      <c r="K16" s="481"/>
      <c r="L16" s="481"/>
      <c r="M16" s="481"/>
      <c r="N16" s="481"/>
      <c r="O16" s="481"/>
      <c r="P16" s="481"/>
      <c r="Q16" s="481"/>
      <c r="R16" s="481"/>
      <c r="S16" s="481"/>
      <c r="T16" s="481"/>
      <c r="U16" s="481"/>
      <c r="V16" s="481"/>
      <c r="W16" s="481"/>
      <c r="X16" s="481"/>
      <c r="Y16" s="481"/>
      <c r="Z16" s="481"/>
      <c r="AA16" s="481"/>
    </row>
    <row r="17" spans="1:27" x14ac:dyDescent="0.25">
      <c r="A17" s="481"/>
      <c r="B17" s="481"/>
      <c r="C17" s="481"/>
      <c r="D17" s="481"/>
      <c r="E17" s="481"/>
      <c r="F17" s="481"/>
      <c r="G17" s="481"/>
      <c r="H17" s="481"/>
      <c r="I17" s="481"/>
      <c r="J17" s="481"/>
      <c r="K17" s="481"/>
      <c r="L17" s="481"/>
      <c r="M17" s="481"/>
      <c r="N17" s="481"/>
      <c r="O17" s="481"/>
      <c r="P17" s="481"/>
      <c r="Q17" s="481"/>
      <c r="R17" s="481"/>
      <c r="S17" s="481"/>
      <c r="T17" s="481"/>
      <c r="U17" s="481"/>
      <c r="V17" s="481"/>
      <c r="W17" s="481"/>
      <c r="X17" s="481"/>
      <c r="Y17" s="481"/>
      <c r="Z17" s="481"/>
      <c r="AA17" s="481"/>
    </row>
    <row r="18" spans="1:27" x14ac:dyDescent="0.25">
      <c r="A18" s="481"/>
      <c r="B18" s="481"/>
      <c r="C18" s="481"/>
      <c r="D18" s="481"/>
      <c r="E18" s="481"/>
      <c r="F18" s="481"/>
      <c r="G18" s="481"/>
      <c r="H18" s="481"/>
      <c r="I18" s="481"/>
      <c r="J18" s="481"/>
      <c r="K18" s="481"/>
      <c r="L18" s="481"/>
      <c r="M18" s="481"/>
      <c r="N18" s="481"/>
      <c r="O18" s="481"/>
      <c r="P18" s="481"/>
      <c r="Q18" s="481"/>
      <c r="R18" s="481"/>
      <c r="S18" s="481"/>
      <c r="T18" s="481"/>
      <c r="U18" s="481"/>
      <c r="V18" s="481"/>
      <c r="W18" s="481"/>
      <c r="X18" s="481"/>
      <c r="Y18" s="481"/>
      <c r="Z18" s="481"/>
      <c r="AA18" s="481"/>
    </row>
    <row r="19" spans="1:27" x14ac:dyDescent="0.25">
      <c r="A19" s="788" t="s">
        <v>225</v>
      </c>
      <c r="B19" s="788"/>
      <c r="C19" s="788"/>
      <c r="D19" s="491"/>
      <c r="E19" s="491"/>
      <c r="F19" s="491"/>
      <c r="G19" s="491"/>
      <c r="H19" s="491"/>
      <c r="I19" s="491"/>
      <c r="J19" s="491"/>
      <c r="K19" s="491"/>
      <c r="L19" s="491"/>
      <c r="M19" s="491"/>
      <c r="N19" s="481"/>
      <c r="O19" s="481"/>
      <c r="P19" s="481"/>
      <c r="Q19" s="481"/>
      <c r="R19" s="481"/>
      <c r="S19" s="481"/>
      <c r="T19" s="481"/>
      <c r="U19" s="481"/>
      <c r="V19" s="481"/>
      <c r="W19" s="481"/>
      <c r="X19" s="481"/>
      <c r="Y19" s="481"/>
      <c r="Z19" s="481"/>
      <c r="AA19" s="481"/>
    </row>
    <row r="20" spans="1:27" x14ac:dyDescent="0.25">
      <c r="A20" s="494" t="s">
        <v>226</v>
      </c>
      <c r="B20" s="789" t="s">
        <v>227</v>
      </c>
      <c r="C20" s="791"/>
      <c r="D20" s="789" t="s">
        <v>228</v>
      </c>
      <c r="E20" s="790"/>
      <c r="F20" s="791"/>
      <c r="G20" s="494" t="s">
        <v>229</v>
      </c>
      <c r="H20" s="494" t="s">
        <v>230</v>
      </c>
      <c r="I20" s="494" t="s">
        <v>231</v>
      </c>
      <c r="J20" s="494"/>
      <c r="K20" s="789" t="s">
        <v>232</v>
      </c>
      <c r="L20" s="790"/>
      <c r="M20" s="791"/>
      <c r="N20" s="481"/>
      <c r="O20" s="481"/>
      <c r="P20" s="481"/>
      <c r="Q20" s="481"/>
      <c r="R20" s="481"/>
      <c r="S20" s="481"/>
      <c r="T20" s="481"/>
      <c r="U20" s="481"/>
      <c r="V20" s="481"/>
      <c r="W20" s="481"/>
      <c r="X20" s="481"/>
      <c r="Y20" s="481"/>
      <c r="Z20" s="481"/>
      <c r="AA20" s="481"/>
    </row>
    <row r="21" spans="1:27" x14ac:dyDescent="0.25">
      <c r="A21" s="496"/>
      <c r="B21" s="792"/>
      <c r="C21" s="794"/>
      <c r="D21" s="792"/>
      <c r="E21" s="793"/>
      <c r="F21" s="794"/>
      <c r="G21" s="497" t="s">
        <v>233</v>
      </c>
      <c r="H21" s="497" t="s">
        <v>234</v>
      </c>
      <c r="I21" s="497"/>
      <c r="J21" s="496"/>
      <c r="K21" s="792"/>
      <c r="L21" s="793"/>
      <c r="M21" s="794"/>
      <c r="N21" s="481"/>
      <c r="O21" s="481"/>
      <c r="P21" s="481"/>
      <c r="Q21" s="481"/>
      <c r="R21" s="481"/>
      <c r="S21" s="481"/>
      <c r="T21" s="481"/>
      <c r="U21" s="481"/>
      <c r="V21" s="481"/>
      <c r="W21" s="481"/>
      <c r="X21" s="481"/>
      <c r="Y21" s="481"/>
      <c r="Z21" s="481"/>
      <c r="AA21" s="481"/>
    </row>
    <row r="22" spans="1:27" x14ac:dyDescent="0.25">
      <c r="A22" s="497" t="s">
        <v>235</v>
      </c>
      <c r="B22" s="696" t="s">
        <v>236</v>
      </c>
      <c r="C22" s="697"/>
      <c r="D22" s="699"/>
      <c r="E22" s="700"/>
      <c r="F22" s="701"/>
      <c r="G22" s="498">
        <v>518.57862306917707</v>
      </c>
      <c r="H22" s="498">
        <v>96</v>
      </c>
      <c r="I22" s="498"/>
      <c r="J22" s="496"/>
      <c r="K22" s="696" t="s">
        <v>237</v>
      </c>
      <c r="L22" s="698"/>
      <c r="M22" s="697"/>
      <c r="N22" s="481"/>
      <c r="O22" s="481"/>
      <c r="P22" s="481"/>
      <c r="Q22" s="481"/>
      <c r="R22" s="481"/>
      <c r="S22" s="481"/>
      <c r="T22" s="481"/>
      <c r="U22" s="481"/>
      <c r="V22" s="481"/>
      <c r="W22" s="481"/>
      <c r="X22" s="481"/>
      <c r="Y22" s="481"/>
      <c r="Z22" s="481"/>
      <c r="AA22" s="481"/>
    </row>
    <row r="23" spans="1:27" x14ac:dyDescent="0.25">
      <c r="A23" s="497" t="s">
        <v>238</v>
      </c>
      <c r="B23" s="696" t="s">
        <v>239</v>
      </c>
      <c r="C23" s="697"/>
      <c r="D23" s="696" t="s">
        <v>237</v>
      </c>
      <c r="E23" s="698"/>
      <c r="F23" s="697"/>
      <c r="G23" s="498">
        <v>81.900000000000006</v>
      </c>
      <c r="H23" s="498">
        <v>62.899999999999977</v>
      </c>
      <c r="I23" s="498"/>
      <c r="J23" s="496"/>
      <c r="K23" s="696" t="s">
        <v>240</v>
      </c>
      <c r="L23" s="698"/>
      <c r="M23" s="697"/>
      <c r="N23" s="481"/>
      <c r="O23" s="481"/>
      <c r="P23" s="481"/>
      <c r="Q23" s="481"/>
      <c r="R23" s="481"/>
      <c r="S23" s="481"/>
      <c r="T23" s="481"/>
      <c r="U23" s="481"/>
      <c r="V23" s="481"/>
      <c r="W23" s="481"/>
      <c r="X23" s="481"/>
      <c r="Y23" s="481"/>
      <c r="Z23" s="481"/>
      <c r="AA23" s="481"/>
    </row>
    <row r="24" spans="1:27" x14ac:dyDescent="0.25">
      <c r="A24" s="497" t="s">
        <v>241</v>
      </c>
      <c r="B24" s="696" t="s">
        <v>239</v>
      </c>
      <c r="C24" s="697"/>
      <c r="D24" s="696" t="s">
        <v>242</v>
      </c>
      <c r="E24" s="698"/>
      <c r="F24" s="697"/>
      <c r="G24" s="498">
        <v>20</v>
      </c>
      <c r="H24" s="498">
        <v>70</v>
      </c>
      <c r="I24" s="498"/>
      <c r="J24" s="496"/>
      <c r="K24" s="696" t="s">
        <v>243</v>
      </c>
      <c r="L24" s="698"/>
      <c r="M24" s="697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</row>
    <row r="25" spans="1:27" x14ac:dyDescent="0.25">
      <c r="A25" s="497" t="s">
        <v>244</v>
      </c>
      <c r="B25" s="696" t="s">
        <v>239</v>
      </c>
      <c r="C25" s="697"/>
      <c r="D25" s="696" t="s">
        <v>245</v>
      </c>
      <c r="E25" s="698"/>
      <c r="F25" s="697"/>
      <c r="G25" s="498">
        <v>3</v>
      </c>
      <c r="H25" s="498">
        <v>85</v>
      </c>
      <c r="I25" s="498"/>
      <c r="J25" s="496"/>
      <c r="K25" s="696" t="s">
        <v>246</v>
      </c>
      <c r="L25" s="698"/>
      <c r="M25" s="697"/>
      <c r="N25" s="481"/>
      <c r="O25" s="481"/>
      <c r="P25" s="481"/>
      <c r="Q25" s="481"/>
      <c r="R25" s="481"/>
      <c r="S25" s="481"/>
      <c r="T25" s="481"/>
      <c r="U25" s="481"/>
      <c r="V25" s="481"/>
      <c r="W25" s="481"/>
      <c r="X25" s="481"/>
      <c r="Y25" s="481"/>
      <c r="Z25" s="481"/>
      <c r="AA25" s="481"/>
    </row>
    <row r="26" spans="1:27" x14ac:dyDescent="0.25">
      <c r="A26" s="497" t="s">
        <v>247</v>
      </c>
      <c r="B26" s="696" t="s">
        <v>248</v>
      </c>
      <c r="C26" s="697"/>
      <c r="D26" s="696" t="s">
        <v>249</v>
      </c>
      <c r="E26" s="698"/>
      <c r="F26" s="697"/>
      <c r="G26" s="498"/>
      <c r="H26" s="498"/>
      <c r="I26" s="498"/>
      <c r="J26" s="496"/>
      <c r="K26" s="696" t="s">
        <v>250</v>
      </c>
      <c r="L26" s="698"/>
      <c r="M26" s="697"/>
      <c r="N26" s="481"/>
      <c r="O26" s="481"/>
      <c r="P26" s="481"/>
      <c r="Q26" s="481"/>
      <c r="R26" s="481"/>
      <c r="S26" s="481"/>
      <c r="T26" s="481"/>
      <c r="U26" s="481"/>
      <c r="V26" s="481"/>
      <c r="W26" s="481"/>
      <c r="X26" s="481"/>
      <c r="Y26" s="481"/>
      <c r="Z26" s="481"/>
      <c r="AA26" s="481"/>
    </row>
    <row r="27" spans="1:27" x14ac:dyDescent="0.25">
      <c r="A27" s="497" t="s">
        <v>251</v>
      </c>
      <c r="B27" s="696" t="s">
        <v>239</v>
      </c>
      <c r="C27" s="697"/>
      <c r="D27" s="696" t="s">
        <v>250</v>
      </c>
      <c r="E27" s="698"/>
      <c r="F27" s="697"/>
      <c r="G27" s="498">
        <v>20</v>
      </c>
      <c r="H27" s="498">
        <v>35</v>
      </c>
      <c r="I27" s="498"/>
      <c r="J27" s="496"/>
      <c r="K27" s="696" t="s">
        <v>252</v>
      </c>
      <c r="L27" s="698"/>
      <c r="M27" s="697"/>
      <c r="N27" s="481"/>
      <c r="O27" s="481"/>
      <c r="P27" s="481"/>
      <c r="Q27" s="481"/>
      <c r="R27" s="481"/>
      <c r="S27" s="481"/>
      <c r="T27" s="481"/>
      <c r="U27" s="481"/>
      <c r="V27" s="481"/>
      <c r="W27" s="481"/>
      <c r="X27" s="481"/>
      <c r="Y27" s="481"/>
      <c r="Z27" s="481"/>
      <c r="AA27" s="481"/>
    </row>
    <row r="28" spans="1:27" x14ac:dyDescent="0.25">
      <c r="A28" s="497" t="s">
        <v>253</v>
      </c>
      <c r="B28" s="696" t="s">
        <v>248</v>
      </c>
      <c r="C28" s="697"/>
      <c r="D28" s="696" t="s">
        <v>254</v>
      </c>
      <c r="E28" s="698"/>
      <c r="F28" s="697"/>
      <c r="G28" s="498"/>
      <c r="H28" s="498"/>
      <c r="I28" s="498"/>
      <c r="J28" s="496"/>
      <c r="K28" s="696" t="s">
        <v>255</v>
      </c>
      <c r="L28" s="698"/>
      <c r="M28" s="697"/>
      <c r="N28" s="481"/>
      <c r="O28" s="481"/>
      <c r="P28" s="481"/>
      <c r="Q28" s="481"/>
      <c r="R28" s="481"/>
      <c r="S28" s="481"/>
      <c r="T28" s="481"/>
      <c r="U28" s="481"/>
      <c r="V28" s="481"/>
      <c r="W28" s="481"/>
      <c r="X28" s="481"/>
      <c r="Y28" s="481"/>
      <c r="Z28" s="481"/>
      <c r="AA28" s="481"/>
    </row>
    <row r="29" spans="1:27" x14ac:dyDescent="0.25">
      <c r="A29" s="497" t="s">
        <v>256</v>
      </c>
      <c r="B29" s="696" t="s">
        <v>239</v>
      </c>
      <c r="C29" s="697"/>
      <c r="D29" s="696" t="s">
        <v>255</v>
      </c>
      <c r="E29" s="698"/>
      <c r="F29" s="697"/>
      <c r="G29" s="498">
        <v>90</v>
      </c>
      <c r="H29" s="498">
        <v>35</v>
      </c>
      <c r="I29" s="498"/>
      <c r="J29" s="496"/>
      <c r="K29" s="696" t="s">
        <v>257</v>
      </c>
      <c r="L29" s="698"/>
      <c r="M29" s="697"/>
      <c r="N29" s="481"/>
      <c r="O29" s="481"/>
      <c r="P29" s="481"/>
      <c r="Q29" s="481"/>
      <c r="R29" s="481"/>
      <c r="S29" s="481"/>
      <c r="T29" s="481"/>
      <c r="U29" s="481"/>
      <c r="V29" s="481"/>
      <c r="W29" s="481"/>
      <c r="X29" s="481"/>
      <c r="Y29" s="481"/>
      <c r="Z29" s="481"/>
      <c r="AA29" s="481"/>
    </row>
    <row r="30" spans="1:27" x14ac:dyDescent="0.25">
      <c r="A30" s="497" t="s">
        <v>258</v>
      </c>
      <c r="B30" s="696" t="s">
        <v>248</v>
      </c>
      <c r="C30" s="697"/>
      <c r="D30" s="696" t="s">
        <v>259</v>
      </c>
      <c r="E30" s="698"/>
      <c r="F30" s="697"/>
      <c r="G30" s="498"/>
      <c r="H30" s="498"/>
      <c r="I30" s="498"/>
      <c r="J30" s="496"/>
      <c r="K30" s="696" t="s">
        <v>260</v>
      </c>
      <c r="L30" s="698"/>
      <c r="M30" s="697"/>
      <c r="N30" s="481"/>
      <c r="O30" s="481"/>
      <c r="P30" s="481"/>
      <c r="Q30" s="481"/>
      <c r="R30" s="481"/>
      <c r="S30" s="481"/>
      <c r="T30" s="481"/>
      <c r="U30" s="481"/>
      <c r="V30" s="481"/>
      <c r="W30" s="481"/>
      <c r="X30" s="481"/>
      <c r="Y30" s="481"/>
      <c r="Z30" s="481"/>
      <c r="AA30" s="481"/>
    </row>
    <row r="31" spans="1:27" x14ac:dyDescent="0.25">
      <c r="A31" s="497" t="s">
        <v>261</v>
      </c>
      <c r="B31" s="696" t="s">
        <v>239</v>
      </c>
      <c r="C31" s="697"/>
      <c r="D31" s="696" t="s">
        <v>260</v>
      </c>
      <c r="E31" s="698"/>
      <c r="F31" s="697"/>
      <c r="G31" s="498">
        <v>2.4</v>
      </c>
      <c r="H31" s="498">
        <v>35</v>
      </c>
      <c r="I31" s="498"/>
      <c r="J31" s="496"/>
      <c r="K31" s="696" t="s">
        <v>262</v>
      </c>
      <c r="L31" s="698"/>
      <c r="M31" s="697"/>
      <c r="N31" s="481"/>
      <c r="O31" s="481"/>
      <c r="P31" s="481"/>
      <c r="Q31" s="481"/>
      <c r="R31" s="481"/>
      <c r="S31" s="481"/>
      <c r="T31" s="481"/>
      <c r="U31" s="481"/>
      <c r="V31" s="481"/>
      <c r="W31" s="481"/>
      <c r="X31" s="481"/>
      <c r="Y31" s="481"/>
      <c r="Z31" s="481"/>
      <c r="AA31" s="481"/>
    </row>
    <row r="32" spans="1:27" x14ac:dyDescent="0.25">
      <c r="A32" s="497" t="s">
        <v>263</v>
      </c>
      <c r="B32" s="696" t="s">
        <v>248</v>
      </c>
      <c r="C32" s="697"/>
      <c r="D32" s="696" t="s">
        <v>264</v>
      </c>
      <c r="E32" s="698"/>
      <c r="F32" s="697"/>
      <c r="G32" s="498"/>
      <c r="H32" s="498"/>
      <c r="I32" s="498"/>
      <c r="J32" s="496"/>
      <c r="K32" s="696" t="s">
        <v>265</v>
      </c>
      <c r="L32" s="698"/>
      <c r="M32" s="697"/>
      <c r="N32" s="481"/>
      <c r="O32" s="481"/>
      <c r="P32" s="481"/>
      <c r="Q32" s="481"/>
      <c r="R32" s="481"/>
      <c r="S32" s="481"/>
      <c r="T32" s="481"/>
      <c r="U32" s="481"/>
      <c r="V32" s="481"/>
      <c r="W32" s="481"/>
      <c r="X32" s="481"/>
      <c r="Y32" s="481"/>
      <c r="Z32" s="481"/>
      <c r="AA32" s="481"/>
    </row>
    <row r="33" spans="1:27" x14ac:dyDescent="0.25">
      <c r="A33" s="497" t="s">
        <v>266</v>
      </c>
      <c r="B33" s="696" t="s">
        <v>239</v>
      </c>
      <c r="C33" s="697"/>
      <c r="D33" s="696" t="s">
        <v>265</v>
      </c>
      <c r="E33" s="698"/>
      <c r="F33" s="697"/>
      <c r="G33" s="498">
        <v>1.0129999999999999</v>
      </c>
      <c r="H33" s="498">
        <v>20</v>
      </c>
      <c r="I33" s="498"/>
      <c r="J33" s="496"/>
      <c r="K33" s="696" t="s">
        <v>267</v>
      </c>
      <c r="L33" s="698"/>
      <c r="M33" s="697"/>
      <c r="N33" s="481"/>
      <c r="O33" s="481"/>
      <c r="P33" s="481"/>
      <c r="Q33" s="481"/>
      <c r="R33" s="481"/>
      <c r="S33" s="481"/>
      <c r="T33" s="481"/>
      <c r="U33" s="481"/>
      <c r="V33" s="481"/>
      <c r="W33" s="481"/>
      <c r="X33" s="481"/>
      <c r="Y33" s="481"/>
      <c r="Z33" s="481"/>
      <c r="AA33" s="481"/>
    </row>
    <row r="34" spans="1:27" x14ac:dyDescent="0.25">
      <c r="A34" s="497" t="s">
        <v>268</v>
      </c>
      <c r="B34" s="696" t="s">
        <v>248</v>
      </c>
      <c r="C34" s="697"/>
      <c r="D34" s="696" t="s">
        <v>269</v>
      </c>
      <c r="E34" s="698"/>
      <c r="F34" s="697"/>
      <c r="G34" s="498"/>
      <c r="H34" s="498"/>
      <c r="I34" s="498"/>
      <c r="J34" s="496"/>
      <c r="K34" s="696" t="s">
        <v>270</v>
      </c>
      <c r="L34" s="698"/>
      <c r="M34" s="697"/>
      <c r="N34" s="481"/>
      <c r="O34" s="481"/>
      <c r="P34" s="481"/>
      <c r="Q34" s="481"/>
      <c r="R34" s="481"/>
      <c r="S34" s="481"/>
      <c r="T34" s="481"/>
      <c r="U34" s="481"/>
      <c r="V34" s="481"/>
      <c r="W34" s="481"/>
      <c r="X34" s="481"/>
      <c r="Y34" s="481"/>
      <c r="Z34" s="481"/>
      <c r="AA34" s="481"/>
    </row>
    <row r="35" spans="1:27" x14ac:dyDescent="0.25">
      <c r="A35" s="497" t="s">
        <v>271</v>
      </c>
      <c r="B35" s="696" t="s">
        <v>239</v>
      </c>
      <c r="C35" s="697"/>
      <c r="D35" s="696" t="s">
        <v>270</v>
      </c>
      <c r="E35" s="698"/>
      <c r="F35" s="697"/>
      <c r="G35" s="498">
        <v>1.0129999999999999</v>
      </c>
      <c r="H35" s="498">
        <v>20</v>
      </c>
      <c r="I35" s="498"/>
      <c r="J35" s="496"/>
      <c r="K35" s="696" t="s">
        <v>272</v>
      </c>
      <c r="L35" s="698"/>
      <c r="M35" s="697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</row>
    <row r="36" spans="1:27" x14ac:dyDescent="0.25">
      <c r="A36" s="497" t="s">
        <v>273</v>
      </c>
      <c r="B36" s="696" t="s">
        <v>248</v>
      </c>
      <c r="C36" s="697"/>
      <c r="D36" s="696" t="s">
        <v>272</v>
      </c>
      <c r="E36" s="698"/>
      <c r="F36" s="697"/>
      <c r="G36" s="498"/>
      <c r="H36" s="498"/>
      <c r="I36" s="498"/>
      <c r="J36" s="496"/>
      <c r="K36" s="696" t="s">
        <v>274</v>
      </c>
      <c r="L36" s="698"/>
      <c r="M36" s="697"/>
      <c r="N36" s="481"/>
      <c r="O36" s="481"/>
      <c r="P36" s="481"/>
      <c r="Q36" s="481"/>
      <c r="R36" s="481"/>
      <c r="S36" s="481"/>
      <c r="T36" s="481"/>
      <c r="U36" s="481"/>
      <c r="V36" s="481"/>
      <c r="W36" s="481"/>
      <c r="X36" s="481"/>
      <c r="Y36" s="481"/>
      <c r="Z36" s="481"/>
      <c r="AA36" s="481"/>
    </row>
    <row r="37" spans="1:27" x14ac:dyDescent="0.25">
      <c r="A37" s="497" t="s">
        <v>275</v>
      </c>
      <c r="B37" s="696" t="s">
        <v>275</v>
      </c>
      <c r="C37" s="697"/>
      <c r="D37" s="696" t="s">
        <v>274</v>
      </c>
      <c r="E37" s="698"/>
      <c r="F37" s="697"/>
      <c r="G37" s="498">
        <v>1.01325</v>
      </c>
      <c r="H37" s="498">
        <v>20</v>
      </c>
      <c r="I37" s="498"/>
      <c r="J37" s="496"/>
      <c r="K37" s="699"/>
      <c r="L37" s="700"/>
      <c r="M37" s="701"/>
      <c r="N37" s="481"/>
      <c r="O37" s="481"/>
      <c r="P37" s="481"/>
      <c r="Q37" s="481"/>
      <c r="R37" s="481"/>
      <c r="S37" s="481"/>
      <c r="T37" s="481"/>
      <c r="U37" s="481"/>
      <c r="V37" s="481"/>
      <c r="W37" s="481"/>
      <c r="X37" s="481"/>
      <c r="Y37" s="481"/>
      <c r="Z37" s="481"/>
      <c r="AA37" s="481"/>
    </row>
    <row r="38" spans="1:27" x14ac:dyDescent="0.25">
      <c r="A38" s="497" t="s">
        <v>276</v>
      </c>
      <c r="B38" s="696" t="s">
        <v>276</v>
      </c>
      <c r="C38" s="697"/>
      <c r="D38" s="696" t="s">
        <v>277</v>
      </c>
      <c r="E38" s="698"/>
      <c r="F38" s="697"/>
      <c r="G38" s="498">
        <v>1.01325</v>
      </c>
      <c r="H38" s="498">
        <v>20</v>
      </c>
      <c r="I38" s="498"/>
      <c r="J38" s="496"/>
      <c r="K38" s="699"/>
      <c r="L38" s="700"/>
      <c r="M38" s="701"/>
      <c r="N38" s="481"/>
      <c r="O38" s="481"/>
      <c r="P38" s="481"/>
      <c r="Q38" s="481"/>
      <c r="R38" s="481"/>
      <c r="S38" s="481"/>
      <c r="T38" s="481"/>
      <c r="U38" s="481"/>
      <c r="V38" s="481"/>
      <c r="W38" s="481"/>
      <c r="X38" s="481"/>
      <c r="Y38" s="481"/>
      <c r="Z38" s="481"/>
      <c r="AA38" s="481"/>
    </row>
    <row r="39" spans="1:27" x14ac:dyDescent="0.25">
      <c r="A39" s="481"/>
      <c r="B39" s="481"/>
      <c r="C39" s="481"/>
      <c r="D39" s="481"/>
      <c r="E39" s="481"/>
      <c r="F39" s="481"/>
      <c r="G39" s="481"/>
      <c r="H39" s="481"/>
      <c r="I39" s="481"/>
      <c r="J39" s="481"/>
      <c r="K39" s="481"/>
      <c r="L39" s="481"/>
      <c r="M39" s="481"/>
      <c r="N39" s="481"/>
      <c r="O39" s="481"/>
      <c r="P39" s="481"/>
      <c r="Q39" s="481"/>
      <c r="R39" s="481"/>
      <c r="S39" s="481"/>
      <c r="T39" s="481"/>
      <c r="U39" s="481"/>
      <c r="V39" s="481"/>
      <c r="W39" s="481"/>
      <c r="X39" s="481"/>
      <c r="Y39" s="481"/>
      <c r="Z39" s="481"/>
      <c r="AA39" s="481"/>
    </row>
    <row r="40" spans="1:27" x14ac:dyDescent="0.25">
      <c r="A40" s="481"/>
      <c r="B40" s="481"/>
      <c r="C40" s="481"/>
      <c r="D40" s="481"/>
      <c r="E40" s="481"/>
      <c r="F40" s="481"/>
      <c r="G40" s="481"/>
      <c r="H40" s="481"/>
      <c r="I40" s="481"/>
      <c r="J40" s="481"/>
      <c r="K40" s="481"/>
      <c r="L40" s="481"/>
      <c r="M40" s="481"/>
      <c r="N40" s="481"/>
      <c r="O40" s="481"/>
      <c r="P40" s="481"/>
      <c r="Q40" s="481"/>
      <c r="R40" s="481"/>
      <c r="S40" s="481"/>
      <c r="T40" s="481"/>
      <c r="U40" s="481"/>
      <c r="V40" s="481"/>
      <c r="W40" s="481"/>
      <c r="X40" s="481"/>
      <c r="Y40" s="481"/>
      <c r="Z40" s="481"/>
      <c r="AA40" s="481"/>
    </row>
    <row r="41" spans="1:27" x14ac:dyDescent="0.25">
      <c r="A41" s="788" t="s">
        <v>278</v>
      </c>
      <c r="B41" s="788"/>
      <c r="C41" s="788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81"/>
    </row>
    <row r="42" spans="1:27" x14ac:dyDescent="0.25">
      <c r="A42" s="499" t="s">
        <v>279</v>
      </c>
      <c r="B42" s="494" t="s">
        <v>237</v>
      </c>
      <c r="C42" s="494" t="s">
        <v>280</v>
      </c>
      <c r="D42" s="494" t="s">
        <v>242</v>
      </c>
      <c r="E42" s="494" t="s">
        <v>281</v>
      </c>
      <c r="F42" s="494" t="s">
        <v>245</v>
      </c>
      <c r="G42" s="494" t="s">
        <v>282</v>
      </c>
      <c r="H42" s="494" t="s">
        <v>283</v>
      </c>
      <c r="I42" s="494" t="s">
        <v>250</v>
      </c>
      <c r="J42" s="494" t="s">
        <v>284</v>
      </c>
      <c r="K42" s="494" t="s">
        <v>285</v>
      </c>
      <c r="L42" s="494" t="s">
        <v>255</v>
      </c>
      <c r="M42" s="494" t="s">
        <v>286</v>
      </c>
      <c r="N42" s="494" t="s">
        <v>287</v>
      </c>
      <c r="O42" s="494" t="s">
        <v>260</v>
      </c>
      <c r="P42" s="494" t="s">
        <v>288</v>
      </c>
      <c r="Q42" s="494" t="s">
        <v>289</v>
      </c>
      <c r="R42" s="494" t="s">
        <v>265</v>
      </c>
      <c r="S42" s="494" t="s">
        <v>290</v>
      </c>
      <c r="T42" s="494" t="s">
        <v>277</v>
      </c>
      <c r="U42" s="494" t="s">
        <v>270</v>
      </c>
      <c r="V42" s="494" t="s">
        <v>291</v>
      </c>
      <c r="W42" s="494" t="s">
        <v>292</v>
      </c>
      <c r="X42" s="494" t="s">
        <v>274</v>
      </c>
      <c r="Y42" s="494" t="s">
        <v>275</v>
      </c>
      <c r="Z42" s="494" t="s">
        <v>276</v>
      </c>
      <c r="AA42" s="481"/>
    </row>
    <row r="43" spans="1:27" x14ac:dyDescent="0.25">
      <c r="A43" s="482" t="s">
        <v>113</v>
      </c>
      <c r="B43" s="507" t="s">
        <v>113</v>
      </c>
      <c r="C43" s="507">
        <v>0.60574881906987876</v>
      </c>
      <c r="D43" s="507">
        <v>0.87835930312781529</v>
      </c>
      <c r="E43" s="507">
        <v>7.8395862367784008E-2</v>
      </c>
      <c r="F43" s="505">
        <v>0.31028419017045455</v>
      </c>
      <c r="G43" s="507">
        <v>6.7016459721271331E-3</v>
      </c>
      <c r="H43" s="505">
        <v>4.1204271286078571E-2</v>
      </c>
      <c r="I43" s="507">
        <v>1.3319333580040388E-4</v>
      </c>
      <c r="J43" s="507">
        <v>0.2185484352974924</v>
      </c>
      <c r="K43" s="505">
        <v>0.23363100978117074</v>
      </c>
      <c r="L43" s="507">
        <v>8.2842377064247085E-3</v>
      </c>
      <c r="M43" s="507">
        <v>0.78334972441486028</v>
      </c>
      <c r="N43" s="507">
        <v>0.78335005245746125</v>
      </c>
      <c r="O43" s="505">
        <v>9.6693885957644055E-2</v>
      </c>
      <c r="P43" s="507">
        <v>8.288233197322286E-3</v>
      </c>
      <c r="Q43" s="505">
        <v>1.5230054865839502E-2</v>
      </c>
      <c r="R43" s="505">
        <v>5.0904784027295573E-5</v>
      </c>
      <c r="S43" s="507">
        <v>1.3181040002679145E-4</v>
      </c>
      <c r="T43" s="505">
        <v>4.0918917499435901E-2</v>
      </c>
      <c r="U43" s="507">
        <v>4.2616690395633308E-5</v>
      </c>
      <c r="V43" s="507">
        <v>0.77850840032420254</v>
      </c>
      <c r="W43" s="505">
        <v>0.77850841739706889</v>
      </c>
      <c r="X43" s="507">
        <v>7.9990088652572109E-4</v>
      </c>
      <c r="Y43" s="507">
        <v>0.77850840032420254</v>
      </c>
      <c r="Z43" s="505">
        <v>0.77850840032420254</v>
      </c>
      <c r="AA43" s="481">
        <v>4.2616690395633315E-5</v>
      </c>
    </row>
    <row r="44" spans="1:27" x14ac:dyDescent="0.25">
      <c r="A44" s="482" t="s">
        <v>114</v>
      </c>
      <c r="B44" s="507" t="s">
        <v>114</v>
      </c>
      <c r="C44" s="507">
        <v>4.0376330780260233E-2</v>
      </c>
      <c r="D44" s="507">
        <v>4.8687665538021056E-2</v>
      </c>
      <c r="E44" s="507">
        <v>2.4298420300065487E-2</v>
      </c>
      <c r="F44" s="507">
        <v>7.0016528677291134E-2</v>
      </c>
      <c r="G44" s="507">
        <v>1.0163496018813408E-2</v>
      </c>
      <c r="H44" s="505">
        <v>5.7407590445945879E-2</v>
      </c>
      <c r="I44" s="507">
        <v>1.1693805343523972E-3</v>
      </c>
      <c r="J44" s="507">
        <v>6.5717841240507585E-2</v>
      </c>
      <c r="K44" s="507">
        <v>6.9269361928915432E-2</v>
      </c>
      <c r="L44" s="507">
        <v>1.6206555976558713E-2</v>
      </c>
      <c r="M44" s="507">
        <v>5.1720661489147161E-2</v>
      </c>
      <c r="N44" s="507">
        <v>5.1720669185905573E-2</v>
      </c>
      <c r="O44" s="507">
        <v>3.5609875632404753E-2</v>
      </c>
      <c r="P44" s="507">
        <v>1.6207432869393384E-2</v>
      </c>
      <c r="Q44" s="505">
        <v>2.9152942272132807E-2</v>
      </c>
      <c r="R44" s="505">
        <v>8.4598777330513854E-4</v>
      </c>
      <c r="S44" s="507">
        <v>1.1639456177261734E-3</v>
      </c>
      <c r="T44" s="505">
        <v>7.1090316397535741E-2</v>
      </c>
      <c r="U44" s="507">
        <v>1.0110298349104462E-3</v>
      </c>
      <c r="V44" s="507">
        <v>5.1604105699111578E-2</v>
      </c>
      <c r="W44" s="505">
        <v>5.1604106815869841E-2</v>
      </c>
      <c r="X44" s="507">
        <v>7.331874074594124E-4</v>
      </c>
      <c r="Y44" s="507">
        <v>5.1604105699111578E-2</v>
      </c>
      <c r="Z44" s="505">
        <v>5.1604105699111578E-2</v>
      </c>
      <c r="AA44" s="481">
        <v>1.0110298349104464E-3</v>
      </c>
    </row>
    <row r="45" spans="1:27" x14ac:dyDescent="0.25">
      <c r="A45" s="482" t="s">
        <v>116</v>
      </c>
      <c r="B45" s="507" t="s">
        <v>116</v>
      </c>
      <c r="C45" s="507">
        <v>61.713121981220318</v>
      </c>
      <c r="D45" s="507">
        <v>83.491919168601896</v>
      </c>
      <c r="E45" s="507">
        <v>19.58299947375264</v>
      </c>
      <c r="F45" s="507">
        <v>68.742079373188872</v>
      </c>
      <c r="G45" s="507">
        <v>4.384210705390239</v>
      </c>
      <c r="H45" s="507">
        <v>26.131523188166366</v>
      </c>
      <c r="I45" s="507">
        <v>0.24405642116680382</v>
      </c>
      <c r="J45" s="507">
        <v>54.215125621320567</v>
      </c>
      <c r="K45" s="507">
        <v>57.672535406548306</v>
      </c>
      <c r="L45" s="507">
        <v>6.0158281458722938</v>
      </c>
      <c r="M45" s="507">
        <v>79.687077967780112</v>
      </c>
      <c r="N45" s="507">
        <v>79.687103905783275</v>
      </c>
      <c r="O45" s="507">
        <v>25.393881735011348</v>
      </c>
      <c r="P45" s="507">
        <v>6.0167038968594255</v>
      </c>
      <c r="Q45" s="507">
        <v>10.981682795631905</v>
      </c>
      <c r="R45" s="507">
        <v>0.12514348127696553</v>
      </c>
      <c r="S45" s="507">
        <v>0.24205797843114221</v>
      </c>
      <c r="T45" s="507">
        <v>37.306561293190967</v>
      </c>
      <c r="U45" s="507">
        <v>0.16100490108926627</v>
      </c>
      <c r="V45" s="507">
        <v>79.269022730307213</v>
      </c>
      <c r="W45" s="507">
        <v>79.269024463039074</v>
      </c>
      <c r="X45" s="507">
        <v>0.33908409443688542</v>
      </c>
      <c r="Y45" s="507">
        <v>79.269022730307213</v>
      </c>
      <c r="Z45" s="507">
        <v>79.269022730307213</v>
      </c>
      <c r="AA45" s="481">
        <v>0.16100490108926627</v>
      </c>
    </row>
    <row r="46" spans="1:27" x14ac:dyDescent="0.25">
      <c r="A46" s="482" t="s">
        <v>117</v>
      </c>
      <c r="B46" s="507" t="s">
        <v>117</v>
      </c>
      <c r="C46" s="507">
        <v>9.225639142895206</v>
      </c>
      <c r="D46" s="507">
        <v>9.9484678760369363</v>
      </c>
      <c r="E46" s="507">
        <v>7.8273588422354958</v>
      </c>
      <c r="F46" s="507">
        <v>17.956856252267077</v>
      </c>
      <c r="G46" s="507">
        <v>4.6955652492779176</v>
      </c>
      <c r="H46" s="507">
        <v>24.555452617533952</v>
      </c>
      <c r="I46" s="507">
        <v>0.91473036050714385</v>
      </c>
      <c r="J46" s="507">
        <v>20.206474957295203</v>
      </c>
      <c r="K46" s="507">
        <v>20.941797677530467</v>
      </c>
      <c r="L46" s="507">
        <v>9.955437118359761</v>
      </c>
      <c r="M46" s="507">
        <v>11.568486175018117</v>
      </c>
      <c r="N46" s="507">
        <v>11.568485798778493</v>
      </c>
      <c r="O46" s="507">
        <v>12.35602759637203</v>
      </c>
      <c r="P46" s="507">
        <v>9.9555456080731926</v>
      </c>
      <c r="Q46" s="507">
        <v>17.429228884110191</v>
      </c>
      <c r="R46" s="507">
        <v>1.0870977364042043</v>
      </c>
      <c r="S46" s="507">
        <v>0.91762715483874147</v>
      </c>
      <c r="T46" s="507">
        <v>28.670662875474729</v>
      </c>
      <c r="U46" s="507">
        <v>0.85693650072060645</v>
      </c>
      <c r="V46" s="507">
        <v>11.612561314773906</v>
      </c>
      <c r="W46" s="507">
        <v>11.61256156211099</v>
      </c>
      <c r="X46" s="507">
        <v>0.34578583555885417</v>
      </c>
      <c r="Y46" s="507">
        <v>11.612561314773908</v>
      </c>
      <c r="Z46" s="507">
        <v>11.612561314773908</v>
      </c>
      <c r="AA46" s="481">
        <v>0.85693650072060668</v>
      </c>
    </row>
    <row r="47" spans="1:27" x14ac:dyDescent="0.25">
      <c r="A47" s="482" t="s">
        <v>118</v>
      </c>
      <c r="B47" s="507" t="s">
        <v>118</v>
      </c>
      <c r="C47" s="507">
        <v>4.5543965304190968</v>
      </c>
      <c r="D47" s="507">
        <v>3.6016005350317721</v>
      </c>
      <c r="E47" s="507">
        <v>6.3975383561554704</v>
      </c>
      <c r="F47" s="507">
        <v>8.3037041751959997</v>
      </c>
      <c r="G47" s="507">
        <v>5.8081983664661623</v>
      </c>
      <c r="H47" s="507">
        <v>23.92162797094317</v>
      </c>
      <c r="I47" s="507">
        <v>2.3598461510671749</v>
      </c>
      <c r="J47" s="507">
        <v>13.628226476568143</v>
      </c>
      <c r="K47" s="507">
        <v>13.246775137169841</v>
      </c>
      <c r="L47" s="507">
        <v>18.945989693014802</v>
      </c>
      <c r="M47" s="507">
        <v>5.0229496289350051</v>
      </c>
      <c r="N47" s="507">
        <v>5.0229462638849407</v>
      </c>
      <c r="O47" s="507">
        <v>12.0666423280207</v>
      </c>
      <c r="P47" s="507">
        <v>18.945678795162333</v>
      </c>
      <c r="Q47" s="507">
        <v>29.623010780012443</v>
      </c>
      <c r="R47" s="507">
        <v>6.2757062235713299</v>
      </c>
      <c r="S47" s="507">
        <v>2.4256558276508406</v>
      </c>
      <c r="T47" s="507">
        <v>20.601840716140813</v>
      </c>
      <c r="U47" s="507">
        <v>2.3859079398392606</v>
      </c>
      <c r="V47" s="507">
        <v>5.172893054627778</v>
      </c>
      <c r="W47" s="507">
        <v>5.1728931550486026</v>
      </c>
      <c r="X47" s="507">
        <v>0.59849257710764503</v>
      </c>
      <c r="Y47" s="507">
        <v>5.1728930546277789</v>
      </c>
      <c r="Z47" s="507">
        <v>5.1728930546277789</v>
      </c>
      <c r="AA47" s="481">
        <v>2.3859079398392611</v>
      </c>
    </row>
    <row r="48" spans="1:27" x14ac:dyDescent="0.25">
      <c r="A48" s="482" t="s">
        <v>119</v>
      </c>
      <c r="B48" s="507" t="s">
        <v>119</v>
      </c>
      <c r="C48" s="507">
        <v>0.90053025912459406</v>
      </c>
      <c r="D48" s="507">
        <v>0.53698794397100347</v>
      </c>
      <c r="E48" s="507">
        <v>1.6037868321250168</v>
      </c>
      <c r="F48" s="507">
        <v>1.2634388860337706</v>
      </c>
      <c r="G48" s="507">
        <v>1.7090141177245211</v>
      </c>
      <c r="H48" s="507">
        <v>5.3277635750156458</v>
      </c>
      <c r="I48" s="507">
        <v>1.020093080653804</v>
      </c>
      <c r="J48" s="507">
        <v>2.6490640004548189</v>
      </c>
      <c r="K48" s="507">
        <v>2.3246411317432947</v>
      </c>
      <c r="L48" s="507">
        <v>7.1718007682154834</v>
      </c>
      <c r="M48" s="507">
        <v>0.80042322051748804</v>
      </c>
      <c r="N48" s="507">
        <v>0.80042207349586558</v>
      </c>
      <c r="O48" s="507">
        <v>3.2013586219482817</v>
      </c>
      <c r="P48" s="507">
        <v>7.1716213323081037</v>
      </c>
      <c r="Q48" s="507">
        <v>9.3386659231109732</v>
      </c>
      <c r="R48" s="507">
        <v>4.6001553925167364</v>
      </c>
      <c r="S48" s="507">
        <v>1.0802593630364135</v>
      </c>
      <c r="T48" s="507">
        <v>3.7731247238900507</v>
      </c>
      <c r="U48" s="507">
        <v>1.0743705744423517</v>
      </c>
      <c r="V48" s="507">
        <v>0.85094750768266691</v>
      </c>
      <c r="W48" s="507">
        <v>0.85094752104311355</v>
      </c>
      <c r="X48" s="507">
        <v>0.24234830080267653</v>
      </c>
      <c r="Y48" s="507">
        <v>0.85094750768266691</v>
      </c>
      <c r="Z48" s="507">
        <v>0.85094750768266691</v>
      </c>
      <c r="AA48" s="481">
        <v>1.074370574442352</v>
      </c>
    </row>
    <row r="49" spans="1:27" x14ac:dyDescent="0.25">
      <c r="A49" s="482" t="s">
        <v>120</v>
      </c>
      <c r="B49" s="507" t="s">
        <v>120</v>
      </c>
      <c r="C49" s="507">
        <v>1.5416581295882654</v>
      </c>
      <c r="D49" s="507">
        <v>0.7669470436269743</v>
      </c>
      <c r="E49" s="507">
        <v>3.0403025532735679</v>
      </c>
      <c r="F49" s="507">
        <v>1.8429100885967085</v>
      </c>
      <c r="G49" s="507">
        <v>3.4105071051220062</v>
      </c>
      <c r="H49" s="507">
        <v>9.0337597379761938</v>
      </c>
      <c r="I49" s="507">
        <v>2.3399778846668067</v>
      </c>
      <c r="J49" s="507">
        <v>4.2944420479446643</v>
      </c>
      <c r="K49" s="507">
        <v>3.5290241697918208</v>
      </c>
      <c r="L49" s="507">
        <v>14.965032545994386</v>
      </c>
      <c r="M49" s="507">
        <v>1.1739770853324909</v>
      </c>
      <c r="N49" s="507">
        <v>1.1739746609060453</v>
      </c>
      <c r="O49" s="507">
        <v>6.24876483798033</v>
      </c>
      <c r="P49" s="507">
        <v>14.964638632332502</v>
      </c>
      <c r="Q49" s="507">
        <v>17.275447824266678</v>
      </c>
      <c r="R49" s="507">
        <v>12.222578244819191</v>
      </c>
      <c r="S49" s="507">
        <v>2.5060641904758247</v>
      </c>
      <c r="T49" s="507">
        <v>5.7025481491100853</v>
      </c>
      <c r="U49" s="507">
        <v>2.4990740830050444</v>
      </c>
      <c r="V49" s="507">
        <v>1.2685838593418712</v>
      </c>
      <c r="W49" s="507">
        <v>1.2685838749654854</v>
      </c>
      <c r="X49" s="507">
        <v>0.55689215356490884</v>
      </c>
      <c r="Y49" s="507">
        <v>1.2685838593418712</v>
      </c>
      <c r="Z49" s="507">
        <v>1.2685838593418712</v>
      </c>
      <c r="AA49" s="481">
        <v>2.4990740830050449</v>
      </c>
    </row>
    <row r="50" spans="1:27" x14ac:dyDescent="0.25">
      <c r="A50" s="482" t="s">
        <v>121</v>
      </c>
      <c r="B50" s="507" t="s">
        <v>121</v>
      </c>
      <c r="C50" s="507">
        <v>0.61858473864812769</v>
      </c>
      <c r="D50" s="507">
        <v>0.20477807247987354</v>
      </c>
      <c r="E50" s="507">
        <v>1.4190754815517939</v>
      </c>
      <c r="F50" s="507">
        <v>0.4606175804569077</v>
      </c>
      <c r="G50" s="507">
        <v>1.7154072927229826</v>
      </c>
      <c r="H50" s="507">
        <v>2.8708047894621038</v>
      </c>
      <c r="I50" s="507">
        <v>1.4954479805139891</v>
      </c>
      <c r="J50" s="507">
        <v>1.2823078199959528</v>
      </c>
      <c r="K50" s="507">
        <v>0.81557923119431386</v>
      </c>
      <c r="L50" s="507">
        <v>7.7889100133672926</v>
      </c>
      <c r="M50" s="507">
        <v>0.29478802142381144</v>
      </c>
      <c r="N50" s="507">
        <v>0.29478685879216804</v>
      </c>
      <c r="O50" s="507">
        <v>2.7283981792635035</v>
      </c>
      <c r="P50" s="507">
        <v>7.7886813140186293</v>
      </c>
      <c r="Q50" s="507">
        <v>5.8408354006309589</v>
      </c>
      <c r="R50" s="507">
        <v>10.1000409618524</v>
      </c>
      <c r="S50" s="507">
        <v>1.6400561817140489</v>
      </c>
      <c r="T50" s="507">
        <v>1.4264680576075188</v>
      </c>
      <c r="U50" s="507">
        <v>1.6405232586527441</v>
      </c>
      <c r="V50" s="507">
        <v>0.3271073357585827</v>
      </c>
      <c r="W50" s="507">
        <v>0.32710733465491582</v>
      </c>
      <c r="X50" s="507">
        <v>0.37738191067739202</v>
      </c>
      <c r="Y50" s="507">
        <v>0.3271073357585827</v>
      </c>
      <c r="Z50" s="507">
        <v>0.3271073357585827</v>
      </c>
      <c r="AA50" s="481">
        <v>1.6405232586527443</v>
      </c>
    </row>
    <row r="51" spans="1:27" x14ac:dyDescent="0.25">
      <c r="A51" s="482" t="s">
        <v>122</v>
      </c>
      <c r="B51" s="507" t="s">
        <v>122</v>
      </c>
      <c r="C51" s="507">
        <v>0.70786093128163652</v>
      </c>
      <c r="D51" s="507">
        <v>0.20085389176361995</v>
      </c>
      <c r="E51" s="507">
        <v>1.6886436854099729</v>
      </c>
      <c r="F51" s="507">
        <v>0.44550187292003374</v>
      </c>
      <c r="G51" s="507">
        <v>2.0729928200114611</v>
      </c>
      <c r="H51" s="507">
        <v>2.9520682062812984</v>
      </c>
      <c r="I51" s="507">
        <v>1.9056384524544157</v>
      </c>
      <c r="J51" s="507">
        <v>1.3000500520758891</v>
      </c>
      <c r="K51" s="507">
        <v>0.74211768508666498</v>
      </c>
      <c r="L51" s="507">
        <v>9.0781121847724897</v>
      </c>
      <c r="M51" s="507">
        <v>0.28061655381349082</v>
      </c>
      <c r="N51" s="507">
        <v>0.28061517283894555</v>
      </c>
      <c r="O51" s="507">
        <v>3.17126012093967</v>
      </c>
      <c r="P51" s="507">
        <v>9.0778452368304787</v>
      </c>
      <c r="Q51" s="507">
        <v>5.7210012621180191</v>
      </c>
      <c r="R51" s="507">
        <v>13.061155032485805</v>
      </c>
      <c r="S51" s="507">
        <v>2.0931173012035007</v>
      </c>
      <c r="T51" s="507">
        <v>1.3189712399940261</v>
      </c>
      <c r="U51" s="507">
        <v>2.094810212613651</v>
      </c>
      <c r="V51" s="507">
        <v>0.31227512396677914</v>
      </c>
      <c r="W51" s="507">
        <v>0.31227511989032014</v>
      </c>
      <c r="X51" s="507">
        <v>0.49796724501327044</v>
      </c>
      <c r="Y51" s="507">
        <v>0.31227512396677914</v>
      </c>
      <c r="Z51" s="507">
        <v>0.31227512396677914</v>
      </c>
      <c r="AA51" s="481">
        <v>2.0948102126136514</v>
      </c>
    </row>
    <row r="52" spans="1:27" x14ac:dyDescent="0.25">
      <c r="A52" s="482" t="s">
        <v>123</v>
      </c>
      <c r="B52" s="507" t="s">
        <v>123</v>
      </c>
      <c r="C52" s="507">
        <v>0.87936864373565005</v>
      </c>
      <c r="D52" s="507">
        <v>0.13833949209761343</v>
      </c>
      <c r="E52" s="507">
        <v>2.3128568511653849</v>
      </c>
      <c r="F52" s="507">
        <v>0.26606303406552556</v>
      </c>
      <c r="G52" s="507">
        <v>2.9456755886627009</v>
      </c>
      <c r="H52" s="507">
        <v>2.0327105611565597</v>
      </c>
      <c r="I52" s="507">
        <v>3.1194817117397182</v>
      </c>
      <c r="J52" s="507">
        <v>0.86835526443366207</v>
      </c>
      <c r="K52" s="507">
        <v>0.27133771295386894</v>
      </c>
      <c r="L52" s="507">
        <v>9.191298840513932</v>
      </c>
      <c r="M52" s="507">
        <v>0.15793860859913078</v>
      </c>
      <c r="N52" s="507">
        <v>0.15793699554717858</v>
      </c>
      <c r="O52" s="507">
        <v>3.5343645282568477</v>
      </c>
      <c r="P52" s="507">
        <v>9.191043187086958</v>
      </c>
      <c r="Q52" s="507">
        <v>2.4571353731649714</v>
      </c>
      <c r="R52" s="507">
        <v>17.181656143869681</v>
      </c>
      <c r="S52" s="507">
        <v>3.3558096535728819</v>
      </c>
      <c r="T52" s="507">
        <v>0.6344302587420555</v>
      </c>
      <c r="U52" s="507">
        <v>3.3617607969807035</v>
      </c>
      <c r="V52" s="507">
        <v>0.17134051521576177</v>
      </c>
      <c r="W52" s="507">
        <v>0.1713404989317597</v>
      </c>
      <c r="X52" s="507">
        <v>0.91311441957211692</v>
      </c>
      <c r="Y52" s="507">
        <v>0.17134051521576177</v>
      </c>
      <c r="Z52" s="507">
        <v>0.17134051521576177</v>
      </c>
      <c r="AA52" s="481">
        <v>3.361760796980704</v>
      </c>
    </row>
    <row r="53" spans="1:27" x14ac:dyDescent="0.25">
      <c r="A53" s="482" t="s">
        <v>132</v>
      </c>
      <c r="B53" s="507" t="s">
        <v>132</v>
      </c>
      <c r="C53" s="507">
        <v>0.79638264833796457</v>
      </c>
      <c r="D53" s="507">
        <v>6.1731588730154531E-2</v>
      </c>
      <c r="E53" s="507">
        <v>2.2175327180695792</v>
      </c>
      <c r="F53" s="507">
        <v>0.12715253967610662</v>
      </c>
      <c r="G53" s="507">
        <v>2.8638272956322162</v>
      </c>
      <c r="H53" s="507">
        <v>1.1179240298092654</v>
      </c>
      <c r="I53" s="507">
        <v>3.196204406209048</v>
      </c>
      <c r="J53" s="507">
        <v>0.46493014467468036</v>
      </c>
      <c r="K53" s="507">
        <v>8.975344355885613E-2</v>
      </c>
      <c r="L53" s="507">
        <v>5.6952194497498665</v>
      </c>
      <c r="M53" s="507">
        <v>6.5860994325511388E-2</v>
      </c>
      <c r="N53" s="507">
        <v>6.5859406698137918E-2</v>
      </c>
      <c r="O53" s="507">
        <v>3.3890684131515787</v>
      </c>
      <c r="P53" s="507">
        <v>5.6951152280313364</v>
      </c>
      <c r="Q53" s="507">
        <v>0.77124732155382136</v>
      </c>
      <c r="R53" s="507">
        <v>11.537892375892314</v>
      </c>
      <c r="S53" s="507">
        <v>3.3363942437625775</v>
      </c>
      <c r="T53" s="507">
        <v>0.21158345445036722</v>
      </c>
      <c r="U53" s="507">
        <v>3.343227615531625</v>
      </c>
      <c r="V53" s="507">
        <v>6.9971282029389542E-2</v>
      </c>
      <c r="W53" s="507">
        <v>6.9971258988506729E-2</v>
      </c>
      <c r="X53" s="507">
        <v>1.1195367113942616</v>
      </c>
      <c r="Y53" s="507">
        <v>6.9971282029389514E-2</v>
      </c>
      <c r="Z53" s="507">
        <v>6.9971282029389514E-2</v>
      </c>
      <c r="AA53" s="481">
        <v>3.3432276155316258</v>
      </c>
    </row>
    <row r="54" spans="1:27" x14ac:dyDescent="0.25">
      <c r="A54" s="482" t="s">
        <v>133</v>
      </c>
      <c r="B54" s="507" t="s">
        <v>133</v>
      </c>
      <c r="C54" s="507">
        <v>1.4056715659981025</v>
      </c>
      <c r="D54" s="507">
        <v>6.7247885159337814E-2</v>
      </c>
      <c r="E54" s="507">
        <v>3.994793139401783</v>
      </c>
      <c r="F54" s="507">
        <v>0.12608399478490848</v>
      </c>
      <c r="G54" s="507">
        <v>5.1909036690445092</v>
      </c>
      <c r="H54" s="507">
        <v>1.1514344747668199</v>
      </c>
      <c r="I54" s="507">
        <v>5.9599194131242825</v>
      </c>
      <c r="J54" s="507">
        <v>0.4756504012283157</v>
      </c>
      <c r="K54" s="507">
        <v>5.1159246329763194E-2</v>
      </c>
      <c r="L54" s="507">
        <v>6.3934260545717017</v>
      </c>
      <c r="M54" s="507">
        <v>6.4877003017143817E-2</v>
      </c>
      <c r="N54" s="507">
        <v>6.4874389708998531E-2</v>
      </c>
      <c r="O54" s="507">
        <v>5.5350302400430067</v>
      </c>
      <c r="P54" s="507">
        <v>6.3933872611511706</v>
      </c>
      <c r="Q54" s="507">
        <v>0.42400195148483633</v>
      </c>
      <c r="R54" s="507">
        <v>13.47679988239809</v>
      </c>
      <c r="S54" s="507">
        <v>6.0862475922322341</v>
      </c>
      <c r="T54" s="507">
        <v>0.16624174261427835</v>
      </c>
      <c r="U54" s="507">
        <v>6.0991935283457872</v>
      </c>
      <c r="V54" s="507">
        <v>6.6984780824407841E-2</v>
      </c>
      <c r="W54" s="507">
        <v>6.698472756526469E-2</v>
      </c>
      <c r="X54" s="507">
        <v>2.4930617649814395</v>
      </c>
      <c r="Y54" s="507">
        <v>6.6984780824407786E-2</v>
      </c>
      <c r="Z54" s="507">
        <v>6.6984780824407786E-2</v>
      </c>
      <c r="AA54" s="481">
        <v>6.0991935283457881</v>
      </c>
    </row>
    <row r="55" spans="1:27" x14ac:dyDescent="0.25">
      <c r="A55" s="482" t="s">
        <v>134</v>
      </c>
      <c r="B55" s="507" t="s">
        <v>134</v>
      </c>
      <c r="C55" s="507">
        <v>2.476923411933841</v>
      </c>
      <c r="D55" s="507">
        <v>5.4069982568107425E-2</v>
      </c>
      <c r="E55" s="507">
        <v>7.1638265002255119</v>
      </c>
      <c r="F55" s="507">
        <v>8.5289918787931532E-2</v>
      </c>
      <c r="G55" s="507">
        <v>9.3523374021887022</v>
      </c>
      <c r="H55" s="507">
        <v>0.80630122740263754</v>
      </c>
      <c r="I55" s="507">
        <v>10.979292839104943</v>
      </c>
      <c r="J55" s="507">
        <v>0.33109985117509694</v>
      </c>
      <c r="K55" s="507">
        <v>1.2378786382595439E-2</v>
      </c>
      <c r="L55" s="507">
        <v>4.7743485164800346</v>
      </c>
      <c r="M55" s="507">
        <v>4.7926211577286416E-2</v>
      </c>
      <c r="N55" s="507">
        <v>4.7921855531856801E-2</v>
      </c>
      <c r="O55" s="507">
        <v>9.1659615455643113</v>
      </c>
      <c r="P55" s="507">
        <v>4.7745469863329326</v>
      </c>
      <c r="Q55" s="507">
        <v>9.335948677584531E-2</v>
      </c>
      <c r="R55" s="507">
        <v>10.329353871238048</v>
      </c>
      <c r="S55" s="507">
        <v>10.9683700092585</v>
      </c>
      <c r="T55" s="507">
        <v>7.5558246815946625E-2</v>
      </c>
      <c r="U55" s="507">
        <v>10.99219053389238</v>
      </c>
      <c r="V55" s="507">
        <v>4.8198105045524159E-2</v>
      </c>
      <c r="W55" s="507">
        <v>4.8197949549396747E-2</v>
      </c>
      <c r="X55" s="507">
        <v>7.1314058597121184</v>
      </c>
      <c r="Y55" s="507">
        <v>4.8198105045523985E-2</v>
      </c>
      <c r="Z55" s="507">
        <v>4.8198105045523985E-2</v>
      </c>
      <c r="AA55" s="481">
        <v>10.99219053389238</v>
      </c>
    </row>
    <row r="56" spans="1:27" x14ac:dyDescent="0.25">
      <c r="A56" s="482" t="s">
        <v>293</v>
      </c>
      <c r="B56" s="507" t="s">
        <v>294</v>
      </c>
      <c r="C56" s="505">
        <v>14.533736866967059</v>
      </c>
      <c r="D56" s="507">
        <v>9.5512668975077099E-6</v>
      </c>
      <c r="E56" s="505">
        <v>42.648591283965949</v>
      </c>
      <c r="F56" s="507">
        <v>1.5651783975113927E-6</v>
      </c>
      <c r="G56" s="505">
        <v>55.834495245765623</v>
      </c>
      <c r="H56" s="507">
        <v>1.775975396008468E-5</v>
      </c>
      <c r="I56" s="505">
        <v>66.464008724921726</v>
      </c>
      <c r="J56" s="505">
        <v>7.0862950242718645E-6</v>
      </c>
      <c r="K56" s="505">
        <v>1.3166611245116735E-13</v>
      </c>
      <c r="L56" s="505">
        <v>1.0587540500677744E-4</v>
      </c>
      <c r="M56" s="505">
        <v>8.1437564144680691E-6</v>
      </c>
      <c r="N56" s="507">
        <v>1.8963907433103001E-6</v>
      </c>
      <c r="O56" s="505">
        <v>13.076938091858398</v>
      </c>
      <c r="P56" s="505">
        <v>6.9685574621966854E-4</v>
      </c>
      <c r="Q56" s="505">
        <v>1.3799108815102422E-12</v>
      </c>
      <c r="R56" s="507">
        <v>1.5237611178989302E-3</v>
      </c>
      <c r="S56" s="505">
        <v>65.347044747805541</v>
      </c>
      <c r="T56" s="507">
        <v>8.0721938385940405E-9</v>
      </c>
      <c r="U56" s="505">
        <v>65.489946408361263</v>
      </c>
      <c r="V56" s="505">
        <v>1.8844028035608792E-6</v>
      </c>
      <c r="W56" s="507">
        <v>9.9996240754555556E-9</v>
      </c>
      <c r="X56" s="505">
        <v>85.383396038884442</v>
      </c>
      <c r="Y56" s="505">
        <v>1.8844028014410928E-6</v>
      </c>
      <c r="Z56" s="507">
        <v>1.8844028014410928E-6</v>
      </c>
      <c r="AA56" s="481">
        <v>65.489946408361277</v>
      </c>
    </row>
    <row r="57" spans="1:27" x14ac:dyDescent="0.25">
      <c r="A57" s="481"/>
      <c r="B57" s="481"/>
      <c r="C57" s="481"/>
      <c r="D57" s="481"/>
      <c r="E57" s="481"/>
      <c r="F57" s="481"/>
      <c r="G57" s="481"/>
      <c r="H57" s="481"/>
      <c r="I57" s="481"/>
      <c r="J57" s="481"/>
      <c r="K57" s="481"/>
      <c r="L57" s="481"/>
      <c r="M57" s="481"/>
      <c r="N57" s="481"/>
      <c r="O57" s="481"/>
      <c r="P57" s="481"/>
      <c r="Q57" s="481"/>
      <c r="R57" s="481"/>
      <c r="S57" s="481"/>
      <c r="T57" s="481"/>
      <c r="U57" s="481"/>
      <c r="V57" s="481"/>
      <c r="W57" s="481"/>
      <c r="X57" s="481"/>
      <c r="Y57" s="481"/>
      <c r="Z57" s="481"/>
      <c r="AA57" s="481"/>
    </row>
    <row r="58" spans="1:27" x14ac:dyDescent="0.25">
      <c r="A58" s="481"/>
      <c r="B58" s="481"/>
      <c r="C58" s="481"/>
      <c r="D58" s="481"/>
      <c r="E58" s="481"/>
      <c r="F58" s="481"/>
      <c r="G58" s="481"/>
      <c r="H58" s="481"/>
      <c r="I58" s="481"/>
      <c r="J58" s="481"/>
      <c r="K58" s="481"/>
      <c r="L58" s="481"/>
      <c r="M58" s="481"/>
      <c r="N58" s="481"/>
      <c r="O58" s="481"/>
      <c r="P58" s="481"/>
      <c r="Q58" s="481"/>
      <c r="R58" s="481"/>
      <c r="S58" s="481"/>
      <c r="T58" s="481"/>
      <c r="U58" s="481"/>
      <c r="V58" s="481"/>
      <c r="W58" s="481"/>
      <c r="X58" s="481"/>
      <c r="Y58" s="481"/>
      <c r="Z58" s="481"/>
      <c r="AA58" s="481"/>
    </row>
    <row r="59" spans="1:27" x14ac:dyDescent="0.25">
      <c r="A59" s="786" t="s">
        <v>295</v>
      </c>
      <c r="B59" s="786"/>
      <c r="C59" s="786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81"/>
    </row>
    <row r="60" spans="1:27" x14ac:dyDescent="0.25">
      <c r="A60" s="481"/>
      <c r="B60" s="494" t="s">
        <v>237</v>
      </c>
      <c r="C60" s="494" t="s">
        <v>280</v>
      </c>
      <c r="D60" s="494" t="s">
        <v>242</v>
      </c>
      <c r="E60" s="494" t="s">
        <v>281</v>
      </c>
      <c r="F60" s="494" t="s">
        <v>245</v>
      </c>
      <c r="G60" s="494" t="s">
        <v>282</v>
      </c>
      <c r="H60" s="494" t="s">
        <v>283</v>
      </c>
      <c r="I60" s="494" t="s">
        <v>250</v>
      </c>
      <c r="J60" s="494" t="s">
        <v>284</v>
      </c>
      <c r="K60" s="494" t="s">
        <v>285</v>
      </c>
      <c r="L60" s="494" t="s">
        <v>255</v>
      </c>
      <c r="M60" s="494" t="s">
        <v>286</v>
      </c>
      <c r="N60" s="494" t="s">
        <v>287</v>
      </c>
      <c r="O60" s="494" t="s">
        <v>260</v>
      </c>
      <c r="P60" s="494" t="s">
        <v>288</v>
      </c>
      <c r="Q60" s="494" t="s">
        <v>289</v>
      </c>
      <c r="R60" s="494" t="s">
        <v>265</v>
      </c>
      <c r="S60" s="494" t="s">
        <v>290</v>
      </c>
      <c r="T60" s="494" t="s">
        <v>277</v>
      </c>
      <c r="U60" s="494" t="s">
        <v>270</v>
      </c>
      <c r="V60" s="494" t="s">
        <v>291</v>
      </c>
      <c r="W60" s="494" t="s">
        <v>292</v>
      </c>
      <c r="X60" s="494" t="s">
        <v>274</v>
      </c>
      <c r="Y60" s="494" t="s">
        <v>275</v>
      </c>
      <c r="Z60" s="494" t="s">
        <v>276</v>
      </c>
      <c r="AA60" s="481"/>
    </row>
    <row r="61" spans="1:27" x14ac:dyDescent="0.25">
      <c r="A61" s="482" t="s">
        <v>296</v>
      </c>
      <c r="B61" s="498">
        <v>7984.9599999999991</v>
      </c>
      <c r="C61" s="498">
        <v>1522.0859721749171</v>
      </c>
      <c r="D61" s="498">
        <v>6462.8740278250834</v>
      </c>
      <c r="E61" s="498">
        <v>220.28476815046736</v>
      </c>
      <c r="F61" s="498">
        <v>6242.589259674618</v>
      </c>
      <c r="G61" s="498">
        <v>193.65652601444404</v>
      </c>
      <c r="H61" s="498">
        <v>6048.9327336601727</v>
      </c>
      <c r="I61" s="498">
        <v>413.94129416491137</v>
      </c>
      <c r="J61" s="498">
        <v>354.32962677589791</v>
      </c>
      <c r="K61" s="498">
        <v>59.611667389013391</v>
      </c>
      <c r="L61" s="498">
        <v>1876.4155989508147</v>
      </c>
      <c r="M61" s="498">
        <v>1876.4118953454872</v>
      </c>
      <c r="N61" s="505">
        <v>3.7036053270190399E-3</v>
      </c>
      <c r="O61" s="498">
        <v>59.615370994340395</v>
      </c>
      <c r="P61" s="498">
        <v>24.672900880967632</v>
      </c>
      <c r="Q61" s="498">
        <v>34.942470113372764</v>
      </c>
      <c r="R61" s="498">
        <v>6083.8752037735458</v>
      </c>
      <c r="S61" s="498">
        <v>1.8416634487027688</v>
      </c>
      <c r="T61" s="498">
        <v>6082.0335403248428</v>
      </c>
      <c r="U61" s="498">
        <v>1902.9264596751575</v>
      </c>
      <c r="V61" s="498">
        <v>1902.9259011943484</v>
      </c>
      <c r="W61" s="505">
        <v>5.584808091801468E-4</v>
      </c>
      <c r="X61" s="498">
        <v>1902.9264596751573</v>
      </c>
      <c r="Y61" s="498">
        <v>1902.9264596751573</v>
      </c>
      <c r="Z61" s="498">
        <v>6082.0335403248428</v>
      </c>
      <c r="AA61" s="481"/>
    </row>
    <row r="62" spans="1:27" x14ac:dyDescent="0.25">
      <c r="A62" s="482" t="s">
        <v>297</v>
      </c>
      <c r="B62" s="507"/>
      <c r="C62" s="507">
        <v>23.275041045448315</v>
      </c>
      <c r="D62" s="507"/>
      <c r="E62" s="507">
        <v>12.857562345949574</v>
      </c>
      <c r="F62" s="507"/>
      <c r="G62" s="507">
        <v>47.676749626552372</v>
      </c>
      <c r="H62" s="507"/>
      <c r="I62" s="507"/>
      <c r="J62" s="507">
        <v>15.477192735175047</v>
      </c>
      <c r="K62" s="507"/>
      <c r="L62" s="507"/>
      <c r="M62" s="507">
        <v>20.182115070783627</v>
      </c>
      <c r="N62" s="507"/>
      <c r="O62" s="507"/>
      <c r="P62" s="507">
        <v>5.364504924700932</v>
      </c>
      <c r="Q62" s="507"/>
      <c r="R62" s="507"/>
      <c r="S62" s="507">
        <v>1.3642084845652571</v>
      </c>
      <c r="T62" s="507"/>
      <c r="U62" s="507"/>
      <c r="V62" s="507">
        <v>2198.9538196657682</v>
      </c>
      <c r="W62" s="507"/>
      <c r="X62" s="507"/>
      <c r="Y62" s="507">
        <v>2198.4094863153168</v>
      </c>
      <c r="Z62" s="507"/>
      <c r="AA62" s="481"/>
    </row>
    <row r="63" spans="1:27" x14ac:dyDescent="0.25">
      <c r="A63" s="482" t="s">
        <v>298</v>
      </c>
      <c r="B63" s="507"/>
      <c r="C63" s="507"/>
      <c r="D63" s="507">
        <v>8.1233289670522826</v>
      </c>
      <c r="E63" s="507"/>
      <c r="F63" s="507">
        <v>7.5952340620167789</v>
      </c>
      <c r="G63" s="507"/>
      <c r="H63" s="507">
        <v>7.2661913171477739</v>
      </c>
      <c r="I63" s="507"/>
      <c r="J63" s="507"/>
      <c r="K63" s="507">
        <v>0.10009735051217417</v>
      </c>
      <c r="L63" s="507"/>
      <c r="M63" s="507"/>
      <c r="N63" s="505">
        <v>5.3081627891608514E-6</v>
      </c>
      <c r="O63" s="507"/>
      <c r="P63" s="507"/>
      <c r="Q63" s="507">
        <v>5.1646486790198405E-2</v>
      </c>
      <c r="R63" s="507"/>
      <c r="S63" s="507"/>
      <c r="T63" s="507">
        <v>7.0839124727760945</v>
      </c>
      <c r="U63" s="507"/>
      <c r="V63" s="507"/>
      <c r="W63" s="505">
        <v>6.4017699257501975E-7</v>
      </c>
      <c r="X63" s="507"/>
      <c r="Y63" s="507"/>
      <c r="Z63" s="507">
        <v>7.08391236632625</v>
      </c>
      <c r="AA63" s="481"/>
    </row>
    <row r="64" spans="1:27" x14ac:dyDescent="0.25">
      <c r="A64" s="481"/>
      <c r="B64" s="481"/>
      <c r="C64" s="481"/>
      <c r="D64" s="481"/>
      <c r="E64" s="481"/>
      <c r="F64" s="481"/>
      <c r="G64" s="481"/>
      <c r="H64" s="481"/>
      <c r="I64" s="481"/>
      <c r="J64" s="481"/>
      <c r="K64" s="481"/>
      <c r="L64" s="481"/>
      <c r="M64" s="481"/>
      <c r="N64" s="481"/>
      <c r="O64" s="481"/>
      <c r="P64" s="481"/>
      <c r="Q64" s="481"/>
      <c r="R64" s="481"/>
      <c r="S64" s="481"/>
      <c r="T64" s="481"/>
      <c r="U64" s="481"/>
      <c r="V64" s="481"/>
      <c r="W64" s="481"/>
      <c r="X64" s="481"/>
      <c r="Y64" s="481"/>
      <c r="Z64" s="481"/>
      <c r="AA64" s="481"/>
    </row>
    <row r="65" spans="1:27" x14ac:dyDescent="0.25">
      <c r="A65" s="481"/>
      <c r="B65" s="481"/>
      <c r="C65" s="481"/>
      <c r="D65" s="481"/>
      <c r="E65" s="481"/>
      <c r="F65" s="481"/>
      <c r="G65" s="481"/>
      <c r="H65" s="481"/>
      <c r="I65" s="481"/>
      <c r="J65" s="481"/>
      <c r="K65" s="481"/>
      <c r="L65" s="481"/>
      <c r="M65" s="481"/>
      <c r="N65" s="481"/>
      <c r="O65" s="481"/>
      <c r="P65" s="481"/>
      <c r="Q65" s="481"/>
      <c r="R65" s="481"/>
      <c r="S65" s="481"/>
      <c r="T65" s="481"/>
      <c r="U65" s="481"/>
      <c r="V65" s="481"/>
      <c r="W65" s="481"/>
      <c r="X65" s="481"/>
      <c r="Y65" s="481"/>
      <c r="Z65" s="481"/>
      <c r="AA65" s="481"/>
    </row>
    <row r="66" spans="1:27" x14ac:dyDescent="0.25">
      <c r="A66" s="786" t="s">
        <v>299</v>
      </c>
      <c r="B66" s="786"/>
      <c r="C66" s="786"/>
      <c r="D66" s="491"/>
      <c r="E66" s="491"/>
      <c r="F66" s="491"/>
      <c r="G66" s="491"/>
      <c r="H66" s="491"/>
      <c r="I66" s="491"/>
      <c r="J66" s="491"/>
      <c r="K66" s="491"/>
      <c r="L66" s="491"/>
      <c r="M66" s="491"/>
      <c r="N66" s="491"/>
      <c r="O66" s="491"/>
      <c r="P66" s="491"/>
      <c r="Q66" s="491"/>
      <c r="R66" s="491"/>
      <c r="S66" s="491"/>
      <c r="T66" s="491"/>
      <c r="U66" s="491"/>
      <c r="V66" s="491"/>
      <c r="W66" s="491"/>
      <c r="X66" s="491"/>
      <c r="Y66" s="491"/>
      <c r="Z66" s="491"/>
      <c r="AA66" s="481"/>
    </row>
    <row r="67" spans="1:27" x14ac:dyDescent="0.25">
      <c r="A67" s="481"/>
      <c r="B67" s="494" t="s">
        <v>237</v>
      </c>
      <c r="C67" s="494" t="s">
        <v>280</v>
      </c>
      <c r="D67" s="494" t="s">
        <v>242</v>
      </c>
      <c r="E67" s="494" t="s">
        <v>281</v>
      </c>
      <c r="F67" s="494" t="s">
        <v>245</v>
      </c>
      <c r="G67" s="494" t="s">
        <v>282</v>
      </c>
      <c r="H67" s="494" t="s">
        <v>283</v>
      </c>
      <c r="I67" s="494" t="s">
        <v>250</v>
      </c>
      <c r="J67" s="494" t="s">
        <v>284</v>
      </c>
      <c r="K67" s="494" t="s">
        <v>285</v>
      </c>
      <c r="L67" s="494" t="s">
        <v>255</v>
      </c>
      <c r="M67" s="494" t="s">
        <v>286</v>
      </c>
      <c r="N67" s="494" t="s">
        <v>287</v>
      </c>
      <c r="O67" s="494" t="s">
        <v>260</v>
      </c>
      <c r="P67" s="494" t="s">
        <v>288</v>
      </c>
      <c r="Q67" s="494" t="s">
        <v>289</v>
      </c>
      <c r="R67" s="494" t="s">
        <v>265</v>
      </c>
      <c r="S67" s="494" t="s">
        <v>290</v>
      </c>
      <c r="T67" s="494" t="s">
        <v>277</v>
      </c>
      <c r="U67" s="494" t="s">
        <v>270</v>
      </c>
      <c r="V67" s="494" t="s">
        <v>291</v>
      </c>
      <c r="W67" s="494" t="s">
        <v>292</v>
      </c>
      <c r="X67" s="494" t="s">
        <v>274</v>
      </c>
      <c r="Y67" s="494" t="s">
        <v>275</v>
      </c>
      <c r="Z67" s="500" t="s">
        <v>276</v>
      </c>
      <c r="AA67" s="481"/>
    </row>
    <row r="68" spans="1:27" x14ac:dyDescent="0.25">
      <c r="A68" s="482" t="s">
        <v>300</v>
      </c>
      <c r="B68" s="498">
        <v>105.61596412002329</v>
      </c>
      <c r="C68" s="498">
        <v>299.59475027878011</v>
      </c>
      <c r="D68" s="498">
        <v>202.27239462944664</v>
      </c>
      <c r="E68" s="498">
        <v>1355.6696947060962</v>
      </c>
      <c r="F68" s="498">
        <v>247.59487131238933</v>
      </c>
      <c r="G68" s="498">
        <v>9718.0728610479</v>
      </c>
      <c r="H68" s="498">
        <v>281.96244674886378</v>
      </c>
      <c r="I68" s="498"/>
      <c r="J68" s="498">
        <v>1152.6808135091992</v>
      </c>
      <c r="K68" s="498">
        <v>103.92721926370503</v>
      </c>
      <c r="L68" s="498"/>
      <c r="M68" s="498">
        <v>221.50035271099654</v>
      </c>
      <c r="N68" s="498">
        <v>121.94411544412077</v>
      </c>
      <c r="O68" s="498"/>
      <c r="P68" s="498">
        <v>10263.082491435454</v>
      </c>
      <c r="Q68" s="498">
        <v>117.24703912019778</v>
      </c>
      <c r="R68" s="498"/>
      <c r="S68" s="498">
        <v>23852.933509234765</v>
      </c>
      <c r="T68" s="498">
        <v>270.86042867901841</v>
      </c>
      <c r="U68" s="498"/>
      <c r="V68" s="498">
        <v>23981.073225882312</v>
      </c>
      <c r="W68" s="498">
        <v>318.02625225387351</v>
      </c>
      <c r="X68" s="498"/>
      <c r="Y68" s="498">
        <v>23975.136377561419</v>
      </c>
      <c r="Z68" s="486">
        <v>270.86042460880293</v>
      </c>
      <c r="AA68" s="482" t="s">
        <v>301</v>
      </c>
    </row>
    <row r="69" spans="1:27" x14ac:dyDescent="0.25">
      <c r="A69" s="482" t="s">
        <v>302</v>
      </c>
      <c r="B69" s="504">
        <v>0.6415317667166166</v>
      </c>
      <c r="C69" s="504">
        <v>6.5395629988484055E-2</v>
      </c>
      <c r="D69" s="504">
        <v>0.79559427594747167</v>
      </c>
      <c r="E69" s="504">
        <v>1.7132700757998821E-2</v>
      </c>
      <c r="F69" s="504">
        <v>0.82190874023137217</v>
      </c>
      <c r="G69" s="504">
        <v>4.0618651131072887E-3</v>
      </c>
      <c r="H69" s="504">
        <v>0.8324763923274433</v>
      </c>
      <c r="I69" s="504"/>
      <c r="J69" s="504">
        <v>2.2893662490266229E-2</v>
      </c>
      <c r="K69" s="504">
        <v>0.59553691565255984</v>
      </c>
      <c r="L69" s="504"/>
      <c r="M69" s="504">
        <v>9.2973996469867023E-2</v>
      </c>
      <c r="N69" s="504">
        <v>0.69771886698383079</v>
      </c>
      <c r="O69" s="504"/>
      <c r="P69" s="504">
        <v>4.5992875814804346E-3</v>
      </c>
      <c r="Q69" s="504">
        <v>0.67657012674101646</v>
      </c>
      <c r="R69" s="504"/>
      <c r="S69" s="504">
        <v>1.3499868015332465E-3</v>
      </c>
      <c r="T69" s="504">
        <v>0.85856983181235891</v>
      </c>
      <c r="U69" s="504"/>
      <c r="V69" s="505">
        <v>8.6537783748618475E-4</v>
      </c>
      <c r="W69" s="504">
        <v>0.87238500548690168</v>
      </c>
      <c r="X69" s="504"/>
      <c r="Y69" s="505">
        <v>8.6559236189641387E-4</v>
      </c>
      <c r="Z69" s="485">
        <v>0.85856984471407483</v>
      </c>
      <c r="AA69" s="482" t="s">
        <v>303</v>
      </c>
    </row>
    <row r="70" spans="1:27" x14ac:dyDescent="0.25">
      <c r="A70" s="482" t="s">
        <v>304</v>
      </c>
      <c r="B70" s="504">
        <v>1.7844039679788284</v>
      </c>
      <c r="C70" s="504">
        <v>0.87814468288167757</v>
      </c>
      <c r="D70" s="504">
        <v>0.59288231076248543</v>
      </c>
      <c r="E70" s="504">
        <v>0.95028036346692535</v>
      </c>
      <c r="F70" s="504">
        <v>0.17355595188272813</v>
      </c>
      <c r="G70" s="504">
        <v>0.97901269868350771</v>
      </c>
      <c r="H70" s="504">
        <v>2.8405304206501291E-2</v>
      </c>
      <c r="I70" s="504"/>
      <c r="J70" s="504">
        <v>0.89976431088136177</v>
      </c>
      <c r="K70" s="504">
        <v>8.1123934507024292E-2</v>
      </c>
      <c r="L70" s="504"/>
      <c r="M70" s="504">
        <v>0.77804843671000379</v>
      </c>
      <c r="N70" s="504">
        <v>0.42834436706778251</v>
      </c>
      <c r="O70" s="504"/>
      <c r="P70" s="504">
        <v>0.96134387634808649</v>
      </c>
      <c r="Q70" s="504">
        <v>1.0982540885957716E-2</v>
      </c>
      <c r="R70" s="504"/>
      <c r="S70" s="504">
        <v>0.99131851894851364</v>
      </c>
      <c r="T70" s="504">
        <v>1.1256852700984962E-2</v>
      </c>
      <c r="U70" s="504"/>
      <c r="V70" s="504">
        <v>0.99664395508727421</v>
      </c>
      <c r="W70" s="504">
        <v>1.3217045746134326E-2</v>
      </c>
      <c r="X70" s="504"/>
      <c r="Y70" s="504">
        <v>0.9966431245821521</v>
      </c>
      <c r="Z70" s="485">
        <v>1.1259630629689177E-2</v>
      </c>
      <c r="AA70" s="481"/>
    </row>
    <row r="71" spans="1:27" x14ac:dyDescent="0.25">
      <c r="A71" s="482" t="s">
        <v>305</v>
      </c>
      <c r="B71" s="498">
        <v>67.755996055397333</v>
      </c>
      <c r="C71" s="498">
        <v>19.592187435723385</v>
      </c>
      <c r="D71" s="498">
        <v>160.92675934937583</v>
      </c>
      <c r="E71" s="498">
        <v>23.226283206087164</v>
      </c>
      <c r="F71" s="498">
        <v>203.50038876811468</v>
      </c>
      <c r="G71" s="498">
        <v>39.473501120925199</v>
      </c>
      <c r="H71" s="498">
        <v>234.72708044131298</v>
      </c>
      <c r="I71" s="498">
        <v>28.765346864879294</v>
      </c>
      <c r="J71" s="498">
        <v>26.389085503485109</v>
      </c>
      <c r="K71" s="498">
        <v>61.892495612654173</v>
      </c>
      <c r="L71" s="498">
        <v>20.593803819922819</v>
      </c>
      <c r="M71" s="498">
        <v>20.593773011026489</v>
      </c>
      <c r="N71" s="498">
        <v>85.082710063017373</v>
      </c>
      <c r="O71" s="498">
        <v>61.893543646353919</v>
      </c>
      <c r="P71" s="498">
        <v>47.202867850568367</v>
      </c>
      <c r="Q71" s="498">
        <v>79.325844117561132</v>
      </c>
      <c r="R71" s="498">
        <v>232.11541789111669</v>
      </c>
      <c r="S71" s="498">
        <v>32.201145415317029</v>
      </c>
      <c r="T71" s="498">
        <v>232.55259269556831</v>
      </c>
      <c r="U71" s="498">
        <v>20.752694923842029</v>
      </c>
      <c r="V71" s="498">
        <v>20.752689288811883</v>
      </c>
      <c r="W71" s="498">
        <v>277.44133381747423</v>
      </c>
      <c r="X71" s="498">
        <v>20.752694923842022</v>
      </c>
      <c r="Y71" s="498">
        <v>20.752694923842022</v>
      </c>
      <c r="Z71" s="486">
        <v>232.55259269556831</v>
      </c>
      <c r="AA71" s="481"/>
    </row>
    <row r="72" spans="1:27" x14ac:dyDescent="0.25">
      <c r="A72" s="482" t="s">
        <v>306</v>
      </c>
      <c r="B72" s="505">
        <v>-79969.469043937876</v>
      </c>
      <c r="C72" s="506">
        <v>48313.86423587372</v>
      </c>
      <c r="D72" s="505">
        <v>-233668.39406579337</v>
      </c>
      <c r="E72" s="505">
        <v>115894.84315777181</v>
      </c>
      <c r="F72" s="505">
        <v>-222903.82111115716</v>
      </c>
      <c r="G72" s="505">
        <v>147987.67085910661</v>
      </c>
      <c r="H72" s="505">
        <v>-183828.38182693772</v>
      </c>
      <c r="I72" s="506"/>
      <c r="J72" s="506">
        <v>32588.551372797356</v>
      </c>
      <c r="K72" s="505">
        <v>-318191.97801354341</v>
      </c>
      <c r="L72" s="506"/>
      <c r="M72" s="506">
        <v>-49277.368860122049</v>
      </c>
      <c r="N72" s="505">
        <v>-309946.83324213343</v>
      </c>
      <c r="O72" s="506"/>
      <c r="P72" s="506">
        <v>52064.832047445554</v>
      </c>
      <c r="Q72" s="505">
        <v>-334629.25376593636</v>
      </c>
      <c r="R72" s="506"/>
      <c r="S72" s="506">
        <v>32488.291445432758</v>
      </c>
      <c r="T72" s="505">
        <v>-353285.58052736212</v>
      </c>
      <c r="U72" s="506"/>
      <c r="V72" s="506">
        <v>37668.745330449317</v>
      </c>
      <c r="W72" s="505">
        <v>-350635.68638592859</v>
      </c>
      <c r="X72" s="506"/>
      <c r="Y72" s="506">
        <v>37668.417428830056</v>
      </c>
      <c r="Z72" s="487">
        <v>-353285.55512027012</v>
      </c>
      <c r="AA72" s="482" t="s">
        <v>307</v>
      </c>
    </row>
    <row r="73" spans="1:27" x14ac:dyDescent="0.25">
      <c r="A73" s="482" t="s">
        <v>308</v>
      </c>
      <c r="B73" s="506">
        <v>-10895.429483198166</v>
      </c>
      <c r="C73" s="506">
        <v>-1507.1068684801392</v>
      </c>
      <c r="D73" s="506">
        <v>-39260.108431015258</v>
      </c>
      <c r="E73" s="506">
        <v>-19.53310314908444</v>
      </c>
      <c r="F73" s="506">
        <v>-45856.204026421408</v>
      </c>
      <c r="G73" s="506">
        <v>2926.169457908984</v>
      </c>
      <c r="H73" s="506">
        <v>-43234.088107599346</v>
      </c>
      <c r="I73" s="506"/>
      <c r="J73" s="506">
        <v>-1445.3796970381177</v>
      </c>
      <c r="K73" s="506">
        <v>-19901.55005421157</v>
      </c>
      <c r="L73" s="506"/>
      <c r="M73" s="506">
        <v>-3008.3102431627603</v>
      </c>
      <c r="N73" s="506">
        <v>-27468.613652685079</v>
      </c>
      <c r="O73" s="506"/>
      <c r="P73" s="506">
        <v>-5.5305592659579581</v>
      </c>
      <c r="Q73" s="506">
        <v>-26572.887312493458</v>
      </c>
      <c r="R73" s="506"/>
      <c r="S73" s="506">
        <v>-1370.1421126584132</v>
      </c>
      <c r="T73" s="506">
        <v>-82184.91587667221</v>
      </c>
      <c r="U73" s="506"/>
      <c r="V73" s="506">
        <v>-1647.5550961227677</v>
      </c>
      <c r="W73" s="506">
        <v>-97313.04857620821</v>
      </c>
      <c r="X73" s="506"/>
      <c r="Y73" s="506">
        <v>-1647.5596643749334</v>
      </c>
      <c r="Z73" s="483">
        <v>-82184.916739285778</v>
      </c>
      <c r="AA73" s="482" t="s">
        <v>309</v>
      </c>
    </row>
    <row r="74" spans="1:27" x14ac:dyDescent="0.25">
      <c r="A74" s="482" t="s">
        <v>310</v>
      </c>
      <c r="B74" s="505">
        <v>-160803.91577876089</v>
      </c>
      <c r="C74" s="506">
        <v>-76923.869446663113</v>
      </c>
      <c r="D74" s="505">
        <v>-243962.58639484955</v>
      </c>
      <c r="E74" s="506">
        <v>-840.99134483838498</v>
      </c>
      <c r="F74" s="505">
        <v>-225337.18143739662</v>
      </c>
      <c r="G74" s="506">
        <v>74129.970101836239</v>
      </c>
      <c r="H74" s="505">
        <v>-184188.75242820068</v>
      </c>
      <c r="I74" s="506"/>
      <c r="J74" s="506">
        <v>-54771.875169650419</v>
      </c>
      <c r="K74" s="505">
        <v>-321550.29228038783</v>
      </c>
      <c r="L74" s="506"/>
      <c r="M74" s="505">
        <v>-146078.63462183575</v>
      </c>
      <c r="N74" s="505">
        <v>-322846.01221964101</v>
      </c>
      <c r="O74" s="506"/>
      <c r="P74" s="506">
        <v>-117.16574686661468</v>
      </c>
      <c r="Q74" s="505">
        <v>-334983.98419955501</v>
      </c>
      <c r="R74" s="506"/>
      <c r="S74" s="506">
        <v>-42549.483721367294</v>
      </c>
      <c r="T74" s="505">
        <v>-353403.56744273956</v>
      </c>
      <c r="U74" s="506"/>
      <c r="V74" s="506">
        <v>-79389.956318142926</v>
      </c>
      <c r="W74" s="505">
        <v>-350751.8048490549</v>
      </c>
      <c r="X74" s="506"/>
      <c r="Y74" s="506">
        <v>-79390.154889334954</v>
      </c>
      <c r="Z74" s="487">
        <v>-353403.5711520664</v>
      </c>
      <c r="AA74" s="482" t="s">
        <v>307</v>
      </c>
    </row>
    <row r="75" spans="1:27" x14ac:dyDescent="0.25">
      <c r="A75" s="482" t="s">
        <v>311</v>
      </c>
      <c r="B75" s="498">
        <v>-462.75434411122637</v>
      </c>
      <c r="C75" s="498">
        <v>-1342.9720581705715</v>
      </c>
      <c r="D75" s="498">
        <v>-296.31538335090551</v>
      </c>
      <c r="E75" s="498">
        <v>-303.15282622998916</v>
      </c>
      <c r="F75" s="498">
        <v>-195.42232722682681</v>
      </c>
      <c r="G75" s="498">
        <v>635.54890631226976</v>
      </c>
      <c r="H75" s="498">
        <v>-64.637945500083518</v>
      </c>
      <c r="I75" s="498"/>
      <c r="J75" s="498">
        <v>-399.59683623084692</v>
      </c>
      <c r="K75" s="498">
        <v>-831.99327430297819</v>
      </c>
      <c r="L75" s="498"/>
      <c r="M75" s="498">
        <v>-1549.8283193290304</v>
      </c>
      <c r="N75" s="498">
        <v>-711.97114233950538</v>
      </c>
      <c r="O75" s="498"/>
      <c r="P75" s="498">
        <v>374.03334701239976</v>
      </c>
      <c r="Q75" s="498">
        <v>-765.1604702728373</v>
      </c>
      <c r="R75" s="498"/>
      <c r="S75" s="498">
        <v>511.25122471849994</v>
      </c>
      <c r="T75" s="498">
        <v>-585.51373444258275</v>
      </c>
      <c r="U75" s="498"/>
      <c r="V75" s="498">
        <v>449.72852129183042</v>
      </c>
      <c r="W75" s="498">
        <v>-570.30864101772954</v>
      </c>
      <c r="X75" s="498"/>
      <c r="Y75" s="498">
        <v>449.62892509419976</v>
      </c>
      <c r="Z75" s="486">
        <v>-585.51374710197183</v>
      </c>
      <c r="AA75" s="482" t="s">
        <v>312</v>
      </c>
    </row>
    <row r="76" spans="1:27" x14ac:dyDescent="0.25">
      <c r="A76" s="482" t="s">
        <v>313</v>
      </c>
      <c r="B76" s="498">
        <v>2888.0236224257014</v>
      </c>
      <c r="C76" s="498">
        <v>2742.8761794700526</v>
      </c>
      <c r="D76" s="498">
        <v>2670.4344304667961</v>
      </c>
      <c r="E76" s="498">
        <v>2251.0003836443411</v>
      </c>
      <c r="F76" s="498">
        <v>2691.1836028946273</v>
      </c>
      <c r="G76" s="498">
        <v>2013.3873375995774</v>
      </c>
      <c r="H76" s="498">
        <v>2764.3964409245104</v>
      </c>
      <c r="I76" s="498"/>
      <c r="J76" s="498">
        <v>2124.9947177085342</v>
      </c>
      <c r="K76" s="498">
        <v>2427.2636940623806</v>
      </c>
      <c r="L76" s="498"/>
      <c r="M76" s="498">
        <v>3072.7021657181908</v>
      </c>
      <c r="N76" s="498">
        <v>2479.7812526182588</v>
      </c>
      <c r="O76" s="498"/>
      <c r="P76" s="498">
        <v>1774.2575616019333</v>
      </c>
      <c r="Q76" s="498">
        <v>2240.4081282810816</v>
      </c>
      <c r="R76" s="498"/>
      <c r="S76" s="498">
        <v>1778.2177202819657</v>
      </c>
      <c r="T76" s="498">
        <v>2437.1954154645468</v>
      </c>
      <c r="U76" s="498"/>
      <c r="V76" s="498">
        <v>1996.6291542997258</v>
      </c>
      <c r="W76" s="498">
        <v>2472.2398701030388</v>
      </c>
      <c r="X76" s="498"/>
      <c r="Y76" s="498">
        <v>1996.6310068180812</v>
      </c>
      <c r="Z76" s="486">
        <v>2437.1953987009433</v>
      </c>
      <c r="AA76" s="482" t="s">
        <v>312</v>
      </c>
    </row>
    <row r="77" spans="1:27" x14ac:dyDescent="0.25">
      <c r="A77" s="482" t="s">
        <v>314</v>
      </c>
      <c r="B77" s="498">
        <v>2554.6331715275332</v>
      </c>
      <c r="C77" s="498">
        <v>1836.3946423097009</v>
      </c>
      <c r="D77" s="498">
        <v>2499.2578170257275</v>
      </c>
      <c r="E77" s="498">
        <v>1785.017579476061</v>
      </c>
      <c r="F77" s="498">
        <v>2549.6642409180986</v>
      </c>
      <c r="G77" s="498">
        <v>1782.7192895899957</v>
      </c>
      <c r="H77" s="498">
        <v>2636.4677864617388</v>
      </c>
      <c r="I77" s="498"/>
      <c r="J77" s="498">
        <v>1630.3816580477715</v>
      </c>
      <c r="K77" s="498">
        <v>1851.0408736305812</v>
      </c>
      <c r="L77" s="498"/>
      <c r="M77" s="498">
        <v>1750.5678335711684</v>
      </c>
      <c r="N77" s="498">
        <v>2143.4596531329657</v>
      </c>
      <c r="O77" s="498"/>
      <c r="P77" s="498">
        <v>1570.4813840821241</v>
      </c>
      <c r="Q77" s="498">
        <v>1837.8442319156652</v>
      </c>
      <c r="R77" s="498"/>
      <c r="S77" s="498">
        <v>1511.0135008416414</v>
      </c>
      <c r="T77" s="498">
        <v>2329.8263472575554</v>
      </c>
      <c r="U77" s="498"/>
      <c r="V77" s="498">
        <v>1589.5810774247007</v>
      </c>
      <c r="W77" s="498">
        <v>2383.4665298649061</v>
      </c>
      <c r="X77" s="498"/>
      <c r="Y77" s="498">
        <v>1589.5814460649169</v>
      </c>
      <c r="Z77" s="486">
        <v>2329.8263513696611</v>
      </c>
      <c r="AA77" s="482" t="s">
        <v>312</v>
      </c>
    </row>
    <row r="78" spans="1:27" x14ac:dyDescent="0.25">
      <c r="A78" s="482" t="s">
        <v>315</v>
      </c>
      <c r="B78" s="507">
        <v>1.1305042362300566</v>
      </c>
      <c r="C78" s="507">
        <v>1.4936202253455917</v>
      </c>
      <c r="D78" s="507">
        <v>1.0684909785116845</v>
      </c>
      <c r="E78" s="507">
        <v>1.26105222129244</v>
      </c>
      <c r="F78" s="507">
        <v>1.0555050973792413</v>
      </c>
      <c r="G78" s="507">
        <v>1.1293911213933365</v>
      </c>
      <c r="H78" s="507">
        <v>1.0485227451363848</v>
      </c>
      <c r="I78" s="507"/>
      <c r="J78" s="507">
        <v>1.3033725613995284</v>
      </c>
      <c r="K78" s="507">
        <v>1.311296648626463</v>
      </c>
      <c r="L78" s="507"/>
      <c r="M78" s="507">
        <v>1.7552602685780307</v>
      </c>
      <c r="N78" s="507">
        <v>1.1569059622809843</v>
      </c>
      <c r="O78" s="507"/>
      <c r="P78" s="507">
        <v>1.1297539592542878</v>
      </c>
      <c r="Q78" s="507">
        <v>1.2190413580076951</v>
      </c>
      <c r="R78" s="507"/>
      <c r="S78" s="507">
        <v>1.1768377445280869</v>
      </c>
      <c r="T78" s="507">
        <v>1.0460845797942735</v>
      </c>
      <c r="U78" s="507"/>
      <c r="V78" s="507">
        <v>1.2560725480794528</v>
      </c>
      <c r="W78" s="507">
        <v>1.0372454738196659</v>
      </c>
      <c r="X78" s="507"/>
      <c r="Y78" s="507">
        <v>1.2560734221960346</v>
      </c>
      <c r="Z78" s="484">
        <v>1.0460845707527353</v>
      </c>
      <c r="AA78" s="481"/>
    </row>
    <row r="79" spans="1:27" x14ac:dyDescent="0.25">
      <c r="A79" s="482" t="s">
        <v>316</v>
      </c>
      <c r="B79" s="504">
        <v>-3.1999763815771971E-2</v>
      </c>
      <c r="C79" s="504">
        <v>0.35485042055037608</v>
      </c>
      <c r="D79" s="504">
        <v>-3.5959504676199995E-2</v>
      </c>
      <c r="E79" s="504">
        <v>0.5191522467598525</v>
      </c>
      <c r="F79" s="504">
        <v>-3.5830094443795563E-2</v>
      </c>
      <c r="G79" s="504">
        <v>0.84399476488855252</v>
      </c>
      <c r="H79" s="504">
        <v>-3.4709503012756882E-2</v>
      </c>
      <c r="I79" s="504"/>
      <c r="J79" s="504">
        <v>0.81302701742636085</v>
      </c>
      <c r="K79" s="504">
        <v>-1.8847396549820355E-2</v>
      </c>
      <c r="L79" s="504"/>
      <c r="M79" s="504">
        <v>0.43756644526442268</v>
      </c>
      <c r="N79" s="504">
        <v>-3.4623362357718658E-2</v>
      </c>
      <c r="O79" s="504"/>
      <c r="P79" s="504">
        <v>1.464304523432554</v>
      </c>
      <c r="Q79" s="504">
        <v>-3.3338027267725924E-2</v>
      </c>
      <c r="R79" s="504"/>
      <c r="S79" s="504">
        <v>1.0912570793649468</v>
      </c>
      <c r="T79" s="504">
        <v>-4.16988998166508E-2</v>
      </c>
      <c r="U79" s="504"/>
      <c r="V79" s="504">
        <v>0.65619483903733855</v>
      </c>
      <c r="W79" s="504">
        <v>-4.1436295394997172E-2</v>
      </c>
      <c r="X79" s="504"/>
      <c r="Y79" s="504">
        <v>0.65619499674212201</v>
      </c>
      <c r="Z79" s="485">
        <v>-4.1698901410631345E-2</v>
      </c>
      <c r="AA79" s="482" t="s">
        <v>317</v>
      </c>
    </row>
    <row r="80" spans="1:27" x14ac:dyDescent="0.25">
      <c r="A80" s="482" t="s">
        <v>318</v>
      </c>
      <c r="B80" s="506">
        <v>916.19937606487474</v>
      </c>
      <c r="C80" s="506">
        <v>412.17798647192905</v>
      </c>
      <c r="D80" s="506">
        <v>1050.455799058831</v>
      </c>
      <c r="E80" s="506">
        <v>374.14031106464546</v>
      </c>
      <c r="F80" s="506">
        <v>1091.2430878556461</v>
      </c>
      <c r="G80" s="506">
        <v>285.73365904746873</v>
      </c>
      <c r="H80" s="506">
        <v>1089.2012158954569</v>
      </c>
      <c r="I80" s="506"/>
      <c r="J80" s="506">
        <v>319.38120437603453</v>
      </c>
      <c r="K80" s="506">
        <v>663.22402831108434</v>
      </c>
      <c r="L80" s="506"/>
      <c r="M80" s="506">
        <v>375.83589259177376</v>
      </c>
      <c r="N80" s="506">
        <v>863.60915422059054</v>
      </c>
      <c r="O80" s="506"/>
      <c r="P80" s="506">
        <v>237.91879080498856</v>
      </c>
      <c r="Q80" s="506">
        <v>786.13472684362023</v>
      </c>
      <c r="R80" s="506"/>
      <c r="S80" s="506">
        <v>295.86555198282235</v>
      </c>
      <c r="T80" s="506">
        <v>1423.7365222033441</v>
      </c>
      <c r="U80" s="506"/>
      <c r="V80" s="506">
        <v>382.80608413988404</v>
      </c>
      <c r="W80" s="506">
        <v>1545.2270550579055</v>
      </c>
      <c r="X80" s="506"/>
      <c r="Y80" s="506">
        <v>382.80584620575138</v>
      </c>
      <c r="Z80" s="483">
        <v>1423.7368296681072</v>
      </c>
      <c r="AA80" s="482" t="s">
        <v>319</v>
      </c>
    </row>
    <row r="81" spans="1:27" x14ac:dyDescent="0.25">
      <c r="A81" s="482" t="s">
        <v>320</v>
      </c>
      <c r="B81" s="504">
        <v>4.8139070235763839</v>
      </c>
      <c r="C81" s="504">
        <v>1.3667797103723383E-2</v>
      </c>
      <c r="D81" s="504">
        <v>164.6859793789917</v>
      </c>
      <c r="E81" s="504">
        <v>1.1833710340967571E-2</v>
      </c>
      <c r="F81" s="504">
        <v>291.49308106332921</v>
      </c>
      <c r="G81" s="504">
        <v>1.0564969760834873E-2</v>
      </c>
      <c r="H81" s="504">
        <v>385.15879970400363</v>
      </c>
      <c r="I81" s="504"/>
      <c r="J81" s="504">
        <v>1.0627359758480882E-2</v>
      </c>
      <c r="K81" s="504">
        <v>0.17551859229014088</v>
      </c>
      <c r="L81" s="504"/>
      <c r="M81" s="504">
        <v>1.4109466819736967E-2</v>
      </c>
      <c r="N81" s="504">
        <v>4.409311301331325</v>
      </c>
      <c r="O81" s="504"/>
      <c r="P81" s="504">
        <v>8.7719307233576054E-3</v>
      </c>
      <c r="Q81" s="504">
        <v>0.3641677750988403</v>
      </c>
      <c r="R81" s="504"/>
      <c r="S81" s="504">
        <v>9.2951068781010043E-3</v>
      </c>
      <c r="T81" s="504">
        <v>656.37987205509035</v>
      </c>
      <c r="U81" s="504"/>
      <c r="V81" s="504">
        <v>1.0467587828711615E-2</v>
      </c>
      <c r="W81" s="504">
        <v>1270.8198610262195</v>
      </c>
      <c r="X81" s="504"/>
      <c r="Y81" s="504">
        <v>1.0467590305853234E-2</v>
      </c>
      <c r="Z81" s="485">
        <v>656.38005078018762</v>
      </c>
      <c r="AA81" s="482" t="s">
        <v>321</v>
      </c>
    </row>
    <row r="82" spans="1:27" x14ac:dyDescent="0.25">
      <c r="A82" s="482" t="s">
        <v>322</v>
      </c>
      <c r="B82" s="507">
        <v>142.05411845775731</v>
      </c>
      <c r="C82" s="507">
        <v>41.949783526539228</v>
      </c>
      <c r="D82" s="507">
        <v>171.20533365542494</v>
      </c>
      <c r="E82" s="507">
        <v>39.566407464803106</v>
      </c>
      <c r="F82" s="507">
        <v>162.79882824118172</v>
      </c>
      <c r="G82" s="507">
        <v>37.996869200309845</v>
      </c>
      <c r="H82" s="507">
        <v>144.05078063843001</v>
      </c>
      <c r="I82" s="507"/>
      <c r="J82" s="507">
        <v>37.826581702197274</v>
      </c>
      <c r="K82" s="507">
        <v>101.09811654411391</v>
      </c>
      <c r="L82" s="507"/>
      <c r="M82" s="507">
        <v>43.380044466666519</v>
      </c>
      <c r="N82" s="507">
        <v>138.94519691965729</v>
      </c>
      <c r="O82" s="507"/>
      <c r="P82" s="507">
        <v>34.770652953610551</v>
      </c>
      <c r="Q82" s="507">
        <v>92.379754798292922</v>
      </c>
      <c r="R82" s="507"/>
      <c r="S82" s="507">
        <v>33.271019072122485</v>
      </c>
      <c r="T82" s="507">
        <v>160.03547494523031</v>
      </c>
      <c r="U82" s="507"/>
      <c r="V82" s="507">
        <v>33.275521033816268</v>
      </c>
      <c r="W82" s="507">
        <v>175.61306712378976</v>
      </c>
      <c r="X82" s="507"/>
      <c r="Y82" s="507">
        <v>33.27587478299607</v>
      </c>
      <c r="Z82" s="484">
        <v>160.03821429871152</v>
      </c>
      <c r="AA82" s="482" t="s">
        <v>323</v>
      </c>
    </row>
    <row r="83" spans="1:27" x14ac:dyDescent="0.25">
      <c r="A83" s="482" t="s">
        <v>324</v>
      </c>
      <c r="B83" s="508"/>
      <c r="C83" s="507">
        <v>28.279971497448887</v>
      </c>
      <c r="D83" s="507">
        <v>28.279971497448887</v>
      </c>
      <c r="E83" s="507">
        <v>44.502449505724861</v>
      </c>
      <c r="F83" s="507">
        <v>44.502449505724861</v>
      </c>
      <c r="G83" s="507">
        <v>50.492999424489582</v>
      </c>
      <c r="H83" s="507">
        <v>50.492999424489582</v>
      </c>
      <c r="I83" s="508"/>
      <c r="J83" s="507">
        <v>10.986922830054395</v>
      </c>
      <c r="K83" s="507">
        <v>10.986922830054395</v>
      </c>
      <c r="L83" s="508"/>
      <c r="M83" s="507">
        <v>12.596321671737009</v>
      </c>
      <c r="N83" s="507">
        <v>12.596321671737009</v>
      </c>
      <c r="O83" s="508"/>
      <c r="P83" s="507">
        <v>18.535178820652433</v>
      </c>
      <c r="Q83" s="507">
        <v>18.535178820652433</v>
      </c>
      <c r="R83" s="508"/>
      <c r="S83" s="507">
        <v>57.873190879287698</v>
      </c>
      <c r="T83" s="507">
        <v>57.873190879287698</v>
      </c>
      <c r="U83" s="508"/>
      <c r="V83" s="507">
        <v>63.161447214440209</v>
      </c>
      <c r="W83" s="507">
        <v>63.161447214440209</v>
      </c>
      <c r="X83" s="508"/>
      <c r="Y83" s="508"/>
      <c r="Z83" s="481"/>
      <c r="AA83" s="482" t="s">
        <v>325</v>
      </c>
    </row>
    <row r="84" spans="1:27" x14ac:dyDescent="0.25">
      <c r="A84" s="482"/>
      <c r="B84" s="486"/>
      <c r="C84" s="486"/>
      <c r="D84" s="486"/>
      <c r="E84" s="486"/>
      <c r="F84" s="486"/>
      <c r="G84" s="486"/>
      <c r="H84" s="486"/>
      <c r="I84" s="486"/>
      <c r="J84" s="486"/>
      <c r="K84" s="486"/>
      <c r="L84" s="486"/>
      <c r="M84" s="486"/>
      <c r="N84" s="48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  <c r="AA84" s="482"/>
    </row>
    <row r="85" spans="1:27" x14ac:dyDescent="0.25">
      <c r="A85" s="482"/>
      <c r="B85" s="486"/>
      <c r="C85" s="486"/>
      <c r="D85" s="486"/>
      <c r="E85" s="486"/>
      <c r="F85" s="486"/>
      <c r="G85" s="486"/>
      <c r="H85" s="486"/>
      <c r="I85" s="486"/>
      <c r="J85" s="486"/>
      <c r="K85" s="486"/>
      <c r="L85" s="486"/>
      <c r="M85" s="486"/>
      <c r="N85" s="486"/>
      <c r="O85" s="486"/>
      <c r="P85" s="486"/>
      <c r="Q85" s="486"/>
      <c r="R85" s="486"/>
      <c r="S85" s="486"/>
      <c r="T85" s="486"/>
      <c r="U85" s="486"/>
      <c r="V85" s="486"/>
      <c r="W85" s="486"/>
      <c r="X85" s="486"/>
      <c r="Y85" s="486"/>
      <c r="Z85" s="486"/>
      <c r="AA85" s="482"/>
    </row>
    <row r="86" spans="1:27" x14ac:dyDescent="0.25">
      <c r="A86" s="482"/>
      <c r="B86" s="484"/>
      <c r="C86" s="484"/>
      <c r="D86" s="484"/>
      <c r="E86" s="484"/>
      <c r="F86" s="484"/>
      <c r="G86" s="484"/>
      <c r="H86" s="484"/>
      <c r="I86" s="484"/>
      <c r="J86" s="484"/>
      <c r="K86" s="484"/>
      <c r="L86" s="484"/>
      <c r="M86" s="484"/>
      <c r="N86" s="484"/>
      <c r="O86" s="484"/>
      <c r="P86" s="484"/>
      <c r="Q86" s="484"/>
      <c r="R86" s="484"/>
      <c r="S86" s="484"/>
      <c r="T86" s="484"/>
      <c r="U86" s="484"/>
      <c r="V86" s="484"/>
      <c r="W86" s="484"/>
      <c r="X86" s="484"/>
      <c r="Y86" s="484"/>
      <c r="Z86" s="484"/>
      <c r="AA86" s="481"/>
    </row>
    <row r="87" spans="1:27" x14ac:dyDescent="0.25">
      <c r="A87" s="482"/>
      <c r="B87" s="485"/>
      <c r="C87" s="485"/>
      <c r="D87" s="485"/>
      <c r="E87" s="485"/>
      <c r="F87" s="485"/>
      <c r="G87" s="485"/>
      <c r="H87" s="485"/>
      <c r="I87" s="485"/>
      <c r="J87" s="485"/>
      <c r="K87" s="485"/>
      <c r="L87" s="485"/>
      <c r="M87" s="485"/>
      <c r="N87" s="485"/>
      <c r="O87" s="485"/>
      <c r="P87" s="485"/>
      <c r="Q87" s="485"/>
      <c r="R87" s="485"/>
      <c r="S87" s="485"/>
      <c r="T87" s="485"/>
      <c r="U87" s="485"/>
      <c r="V87" s="485"/>
      <c r="W87" s="485"/>
      <c r="X87" s="485"/>
      <c r="Y87" s="485"/>
      <c r="Z87" s="485"/>
      <c r="AA87" s="482"/>
    </row>
    <row r="88" spans="1:27" x14ac:dyDescent="0.25">
      <c r="A88" s="482"/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2"/>
    </row>
    <row r="89" spans="1:27" x14ac:dyDescent="0.25">
      <c r="A89" s="482"/>
      <c r="B89" s="485"/>
      <c r="C89" s="485"/>
      <c r="D89" s="485"/>
      <c r="E89" s="485"/>
      <c r="F89" s="485"/>
      <c r="G89" s="485"/>
      <c r="H89" s="485"/>
      <c r="I89" s="485"/>
      <c r="J89" s="485"/>
      <c r="K89" s="485"/>
      <c r="L89" s="485"/>
      <c r="M89" s="485"/>
      <c r="N89" s="485"/>
      <c r="O89" s="485"/>
      <c r="P89" s="485"/>
      <c r="Q89" s="485"/>
      <c r="R89" s="485"/>
      <c r="S89" s="485"/>
      <c r="T89" s="485"/>
      <c r="U89" s="485"/>
      <c r="V89" s="485"/>
      <c r="W89" s="485"/>
      <c r="X89" s="485"/>
      <c r="Y89" s="485"/>
      <c r="Z89" s="485"/>
      <c r="AA89" s="482"/>
    </row>
    <row r="90" spans="1:27" x14ac:dyDescent="0.25">
      <c r="A90" s="482"/>
      <c r="B90" s="484"/>
      <c r="C90" s="484"/>
      <c r="D90" s="484"/>
      <c r="E90" s="484"/>
      <c r="F90" s="484"/>
      <c r="G90" s="484"/>
      <c r="H90" s="484"/>
      <c r="I90" s="484"/>
      <c r="J90" s="484"/>
      <c r="K90" s="484"/>
      <c r="L90" s="484"/>
      <c r="M90" s="484"/>
      <c r="N90" s="484"/>
      <c r="O90" s="484"/>
      <c r="P90" s="484"/>
      <c r="Q90" s="484"/>
      <c r="R90" s="484"/>
      <c r="S90" s="484"/>
      <c r="T90" s="484"/>
      <c r="U90" s="484"/>
      <c r="V90" s="484"/>
      <c r="W90" s="484"/>
      <c r="X90" s="484"/>
      <c r="Y90" s="484"/>
      <c r="Z90" s="484"/>
      <c r="AA90" s="482"/>
    </row>
    <row r="91" spans="1:27" x14ac:dyDescent="0.25">
      <c r="A91" s="482"/>
      <c r="B91" s="481"/>
      <c r="C91" s="484"/>
      <c r="D91" s="484"/>
      <c r="E91" s="484"/>
      <c r="F91" s="484"/>
      <c r="G91" s="484"/>
      <c r="H91" s="484"/>
      <c r="I91" s="481"/>
      <c r="J91" s="484"/>
      <c r="K91" s="484"/>
      <c r="L91" s="481"/>
      <c r="M91" s="484"/>
      <c r="N91" s="484"/>
      <c r="O91" s="481"/>
      <c r="P91" s="484"/>
      <c r="Q91" s="484"/>
      <c r="R91" s="481"/>
      <c r="S91" s="484"/>
      <c r="T91" s="484"/>
      <c r="U91" s="481"/>
      <c r="V91" s="484"/>
      <c r="W91" s="484"/>
      <c r="X91" s="481"/>
      <c r="Y91" s="481"/>
      <c r="Z91" s="481"/>
      <c r="AA91" s="482"/>
    </row>
  </sheetData>
  <mergeCells count="18">
    <mergeCell ref="A2:J2"/>
    <mergeCell ref="B1:J1"/>
    <mergeCell ref="A3:D3"/>
    <mergeCell ref="A4:D4"/>
    <mergeCell ref="A7:D7"/>
    <mergeCell ref="E7:H7"/>
    <mergeCell ref="A59:C59"/>
    <mergeCell ref="A66:C66"/>
    <mergeCell ref="A9:K9"/>
    <mergeCell ref="A11:C11"/>
    <mergeCell ref="A19:C19"/>
    <mergeCell ref="K20:M20"/>
    <mergeCell ref="K21:M21"/>
    <mergeCell ref="B21:C21"/>
    <mergeCell ref="D21:F21"/>
    <mergeCell ref="B20:C20"/>
    <mergeCell ref="D20:F20"/>
    <mergeCell ref="A41:C41"/>
  </mergeCells>
  <pageMargins left="0.7" right="0.7" top="0.75" bottom="0.75" header="0.3" footer="0.3"/>
  <pageSetup paperSize="8" scale="70" fitToHeight="0" orientation="landscape" r:id="rId1"/>
  <rowBreaks count="1" manualBreakCount="1">
    <brk id="56" max="26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98C26-2351-4355-9A97-DE0129B00B35}">
  <sheetPr codeName="Sheet7">
    <tabColor theme="5"/>
  </sheetPr>
  <dimension ref="A1:CV92"/>
  <sheetViews>
    <sheetView showGridLines="0" tabSelected="1" topLeftCell="A35" zoomScale="77" zoomScaleNormal="77" zoomScaleSheetLayoutView="85" zoomScalePageLayoutView="55" workbookViewId="0">
      <selection activeCell="L70" sqref="L70:L71"/>
    </sheetView>
  </sheetViews>
  <sheetFormatPr defaultColWidth="18.28515625" defaultRowHeight="15" x14ac:dyDescent="0.25"/>
  <cols>
    <col min="1" max="1" width="26.28515625" style="28" customWidth="1"/>
    <col min="2" max="2" width="0.140625" style="28" customWidth="1"/>
    <col min="3" max="4" width="17.140625" style="29" customWidth="1"/>
    <col min="5" max="5" width="15.28515625" style="29" customWidth="1"/>
    <col min="6" max="6" width="15.5703125" style="29" customWidth="1"/>
    <col min="7" max="7" width="14" style="29" customWidth="1"/>
    <col min="8" max="8" width="16.5703125" style="29" bestFit="1" customWidth="1"/>
    <col min="9" max="9" width="17.7109375" style="29" customWidth="1"/>
    <col min="10" max="10" width="15.42578125" style="29" customWidth="1"/>
    <col min="11" max="11" width="32.85546875" style="29" hidden="1" customWidth="1"/>
    <col min="12" max="12" width="18.140625" style="29" customWidth="1"/>
    <col min="13" max="14" width="18.85546875" style="29" customWidth="1"/>
    <col min="15" max="15" width="15.140625" style="29" customWidth="1"/>
    <col min="16" max="16" width="14.5703125" style="29" customWidth="1"/>
    <col min="17" max="17" width="13.85546875" style="29" bestFit="1" customWidth="1"/>
    <col min="18" max="18" width="17.42578125" style="28" bestFit="1" customWidth="1"/>
    <col min="19" max="19" width="16.85546875" style="28" customWidth="1"/>
    <col min="20" max="20" width="18.42578125" style="28" customWidth="1"/>
    <col min="21" max="21" width="15.42578125" style="28" customWidth="1"/>
    <col min="22" max="22" width="16.140625" style="28" customWidth="1"/>
    <col min="23" max="23" width="14.5703125" style="28" customWidth="1"/>
    <col min="24" max="25" width="15.7109375" style="28" customWidth="1"/>
    <col min="26" max="35" width="14.5703125" style="28" customWidth="1"/>
    <col min="36" max="36" width="6.28515625" style="28" customWidth="1"/>
    <col min="37" max="41" width="19.140625" style="28" customWidth="1"/>
    <col min="42" max="42" width="23.140625" style="28" hidden="1" customWidth="1"/>
    <col min="43" max="46" width="18.42578125" style="28" customWidth="1"/>
    <col min="47" max="48" width="12.5703125" style="28" customWidth="1"/>
    <col min="49" max="51" width="14.140625" style="28" customWidth="1"/>
    <col min="52" max="56" width="17.5703125" style="28" customWidth="1"/>
    <col min="57" max="59" width="19" style="28" customWidth="1"/>
    <col min="60" max="60" width="15.85546875" style="28" bestFit="1" customWidth="1"/>
    <col min="61" max="64" width="18.140625" style="28" customWidth="1"/>
    <col min="65" max="65" width="14.5703125" style="28" hidden="1" customWidth="1"/>
    <col min="66" max="66" width="13.85546875" style="28" hidden="1" customWidth="1"/>
    <col min="67" max="67" width="13.140625" style="28" hidden="1" customWidth="1"/>
    <col min="68" max="70" width="14.5703125" style="28" hidden="1" customWidth="1"/>
    <col min="71" max="71" width="3.140625" style="28" customWidth="1"/>
    <col min="72" max="72" width="3.5703125" style="28" customWidth="1"/>
    <col min="73" max="78" width="14.7109375" style="28" customWidth="1"/>
    <col min="79" max="79" width="17.7109375" style="28" bestFit="1" customWidth="1"/>
    <col min="80" max="80" width="16.7109375" style="28" hidden="1" customWidth="1"/>
    <col min="81" max="81" width="18.140625" style="28" bestFit="1" customWidth="1"/>
    <col min="82" max="82" width="19.140625" style="28" hidden="1" customWidth="1"/>
    <col min="83" max="83" width="20" style="28" customWidth="1"/>
    <col min="84" max="84" width="15" style="28" customWidth="1"/>
    <col min="85" max="85" width="2.85546875" style="28" customWidth="1"/>
    <col min="86" max="86" width="19.28515625" style="28" hidden="1" customWidth="1"/>
    <col min="87" max="87" width="18.5703125" style="28" hidden="1" customWidth="1"/>
    <col min="88" max="88" width="20" style="28" hidden="1" customWidth="1"/>
    <col min="89" max="89" width="17.28515625" style="28" hidden="1" customWidth="1"/>
    <col min="90" max="90" width="16.7109375" style="28" hidden="1" customWidth="1"/>
    <col min="91" max="91" width="13.85546875" style="28" hidden="1" customWidth="1"/>
    <col min="92" max="92" width="13" style="28" hidden="1" customWidth="1"/>
    <col min="93" max="93" width="17.7109375" style="28" hidden="1" customWidth="1"/>
    <col min="94" max="94" width="14.85546875" style="28" hidden="1" customWidth="1"/>
    <col min="95" max="95" width="17.42578125" style="28" hidden="1" customWidth="1"/>
    <col min="96" max="96" width="16.7109375" style="28" hidden="1" customWidth="1"/>
    <col min="97" max="97" width="9.140625" style="28" hidden="1" customWidth="1"/>
    <col min="98" max="98" width="19.42578125" style="28" customWidth="1"/>
    <col min="99" max="16384" width="18.28515625" style="28"/>
  </cols>
  <sheetData>
    <row r="1" spans="1:100" ht="54" customHeight="1" x14ac:dyDescent="0.25">
      <c r="A1" s="89"/>
      <c r="B1" s="89"/>
      <c r="C1" s="438" t="s">
        <v>79</v>
      </c>
      <c r="D1" s="438"/>
      <c r="E1" s="438"/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  <c r="AC1" s="438"/>
      <c r="AD1" s="438"/>
      <c r="AE1" s="438"/>
      <c r="AF1" s="438"/>
      <c r="AG1" s="438"/>
      <c r="AH1" s="438"/>
      <c r="AI1" s="438"/>
      <c r="AJ1" s="438"/>
      <c r="AK1" s="438"/>
      <c r="AL1" s="438"/>
      <c r="AM1" s="438"/>
      <c r="AN1" s="438"/>
      <c r="AO1" s="438"/>
      <c r="AP1" s="438"/>
      <c r="AQ1" s="438"/>
      <c r="AR1" s="438"/>
      <c r="AS1" s="438"/>
      <c r="AT1" s="438"/>
      <c r="AU1" s="438"/>
      <c r="AV1" s="438"/>
      <c r="AW1" s="438"/>
      <c r="AX1" s="438"/>
      <c r="AY1" s="438"/>
      <c r="AZ1" s="438"/>
      <c r="BA1" s="438"/>
      <c r="BB1" s="438"/>
      <c r="BC1" s="438"/>
      <c r="BD1" s="438"/>
      <c r="BE1" s="438"/>
      <c r="BF1" s="438"/>
      <c r="BG1" s="438"/>
      <c r="BH1" s="438"/>
      <c r="BI1" s="438"/>
      <c r="BJ1" s="438"/>
      <c r="BK1" s="438"/>
      <c r="BL1" s="438"/>
      <c r="BM1" s="438"/>
      <c r="BN1" s="438"/>
      <c r="BO1" s="438"/>
      <c r="BP1" s="438"/>
      <c r="BQ1" s="438"/>
      <c r="BR1" s="438"/>
      <c r="BS1" s="438"/>
      <c r="BT1" s="438"/>
      <c r="BU1" s="438"/>
      <c r="BV1" s="438"/>
      <c r="BW1" s="438"/>
      <c r="BX1" s="438"/>
      <c r="BY1" s="438"/>
      <c r="BZ1" s="438"/>
      <c r="CA1" s="438"/>
      <c r="CB1" s="438"/>
      <c r="CC1" s="438"/>
      <c r="CD1" s="438"/>
      <c r="CE1" s="438"/>
      <c r="CF1" s="438"/>
      <c r="CG1" s="438"/>
      <c r="CH1" s="438" t="s">
        <v>79</v>
      </c>
      <c r="CI1" s="438"/>
      <c r="CJ1" s="438"/>
      <c r="CK1" s="438" t="s">
        <v>79</v>
      </c>
      <c r="CL1" s="438"/>
      <c r="CM1" s="438"/>
      <c r="CN1" s="438" t="s">
        <v>79</v>
      </c>
      <c r="CO1" s="438"/>
      <c r="CP1" s="438"/>
      <c r="CQ1" s="438" t="s">
        <v>79</v>
      </c>
      <c r="CR1" s="438"/>
      <c r="CS1" s="438"/>
    </row>
    <row r="2" spans="1:100" ht="30.75" customHeight="1" x14ac:dyDescent="0.35">
      <c r="A2" s="838" t="s">
        <v>326</v>
      </c>
      <c r="B2" s="838"/>
      <c r="C2" s="838"/>
      <c r="D2" s="838"/>
      <c r="E2" s="838"/>
      <c r="F2" s="838"/>
      <c r="G2" s="838"/>
      <c r="H2" s="838"/>
      <c r="I2" s="838"/>
      <c r="J2" s="838"/>
      <c r="K2" s="838"/>
      <c r="L2" s="838"/>
      <c r="M2" s="838"/>
      <c r="N2" s="838"/>
      <c r="O2" s="838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0"/>
      <c r="AC2" s="380"/>
      <c r="AD2" s="380"/>
      <c r="AE2" s="380"/>
      <c r="AF2" s="380"/>
      <c r="AG2" s="380"/>
      <c r="AH2" s="380"/>
      <c r="AI2" s="380"/>
      <c r="AJ2" s="380"/>
      <c r="AK2" s="380"/>
      <c r="AL2" s="380"/>
      <c r="AM2" s="380"/>
      <c r="AN2" s="380"/>
      <c r="AO2" s="380"/>
      <c r="AP2" s="380"/>
      <c r="AQ2" s="380"/>
      <c r="AR2" s="380"/>
      <c r="AS2" s="380"/>
      <c r="AT2" s="380"/>
      <c r="AU2" s="380"/>
      <c r="AV2" s="380"/>
      <c r="AW2" s="380"/>
      <c r="AX2" s="380"/>
      <c r="AY2" s="380"/>
      <c r="AZ2" s="380"/>
      <c r="BA2" s="380"/>
      <c r="BB2" s="380"/>
      <c r="BC2" s="380"/>
      <c r="BD2" s="380"/>
      <c r="BE2" s="380"/>
      <c r="BF2" s="380"/>
      <c r="BG2" s="380"/>
      <c r="BH2" s="380"/>
      <c r="BI2" s="380"/>
      <c r="BJ2" s="380"/>
      <c r="BK2" s="380"/>
      <c r="BL2" s="380"/>
      <c r="BM2" s="380"/>
      <c r="BN2" s="380"/>
      <c r="BO2" s="380"/>
      <c r="BP2" s="380"/>
      <c r="BQ2" s="380"/>
      <c r="BR2" s="380"/>
      <c r="BS2" s="380"/>
      <c r="BT2" s="380"/>
      <c r="BU2" s="380"/>
      <c r="BV2" s="380"/>
      <c r="BW2" s="380"/>
      <c r="BX2" s="380"/>
      <c r="BY2" s="380"/>
      <c r="BZ2" s="380"/>
      <c r="CA2" s="380"/>
      <c r="CB2" s="380"/>
      <c r="CC2" s="380"/>
      <c r="CD2" s="380"/>
      <c r="CE2" s="380"/>
      <c r="CF2" s="380"/>
      <c r="CG2" s="380"/>
      <c r="CH2" s="380"/>
      <c r="CI2" s="380"/>
      <c r="CJ2" s="380"/>
      <c r="CK2" s="380"/>
      <c r="CL2" s="380"/>
      <c r="CM2" s="380"/>
      <c r="CN2" s="380"/>
      <c r="CO2" s="380"/>
      <c r="CP2" s="380"/>
      <c r="CQ2" s="380"/>
      <c r="CR2" s="380"/>
      <c r="CS2" s="380"/>
    </row>
    <row r="3" spans="1:100" ht="15.75" thickBot="1" x14ac:dyDescent="0.3"/>
    <row r="4" spans="1:100" ht="15.75" thickBot="1" x14ac:dyDescent="0.3">
      <c r="A4" s="824" t="s">
        <v>327</v>
      </c>
      <c r="B4" s="825"/>
      <c r="C4" s="825"/>
      <c r="D4" s="825"/>
      <c r="E4" s="825"/>
      <c r="F4" s="825"/>
      <c r="G4" s="825"/>
      <c r="H4" s="825"/>
      <c r="I4" s="825"/>
      <c r="J4" s="825"/>
      <c r="K4" s="825"/>
      <c r="L4" s="825"/>
      <c r="M4" s="826"/>
      <c r="N4" s="825"/>
      <c r="O4" s="827"/>
    </row>
    <row r="5" spans="1:100" ht="45.75" customHeight="1" x14ac:dyDescent="0.25">
      <c r="A5" s="831" t="s">
        <v>328</v>
      </c>
      <c r="B5" s="832"/>
      <c r="C5" s="832"/>
      <c r="D5" s="832"/>
      <c r="E5" s="832"/>
      <c r="F5" s="833"/>
      <c r="G5" s="828" t="s">
        <v>329</v>
      </c>
      <c r="H5" s="828"/>
      <c r="I5" s="828"/>
      <c r="J5" s="835" t="s">
        <v>330</v>
      </c>
      <c r="K5" s="836"/>
      <c r="L5" s="837"/>
      <c r="M5" s="326" t="s">
        <v>331</v>
      </c>
      <c r="N5" s="829" t="s">
        <v>332</v>
      </c>
      <c r="O5" s="830"/>
    </row>
    <row r="6" spans="1:100" x14ac:dyDescent="0.25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>
        <v>64.248999999999995</v>
      </c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  <c r="CS6" s="179"/>
    </row>
    <row r="7" spans="1:100" s="118" customFormat="1" ht="42" customHeight="1" thickBot="1" x14ac:dyDescent="0.3">
      <c r="A7" s="834"/>
      <c r="B7" s="834"/>
      <c r="D7" s="510" t="s">
        <v>333</v>
      </c>
      <c r="E7" s="119" t="s">
        <v>334</v>
      </c>
      <c r="F7" s="119" t="s">
        <v>335</v>
      </c>
      <c r="G7" s="119" t="s">
        <v>336</v>
      </c>
      <c r="H7" s="119" t="s">
        <v>337</v>
      </c>
      <c r="I7" s="119" t="s">
        <v>337</v>
      </c>
      <c r="J7" s="119" t="s">
        <v>337</v>
      </c>
      <c r="K7" s="119" t="s">
        <v>338</v>
      </c>
      <c r="L7" s="119" t="s">
        <v>339</v>
      </c>
      <c r="M7" s="119" t="s">
        <v>339</v>
      </c>
      <c r="N7" s="119"/>
      <c r="O7" s="119"/>
      <c r="P7" s="119"/>
      <c r="Q7" s="119"/>
      <c r="R7" s="119" t="s">
        <v>337</v>
      </c>
      <c r="S7" s="119" t="s">
        <v>337</v>
      </c>
      <c r="T7" s="119" t="s">
        <v>337</v>
      </c>
      <c r="U7" s="119" t="s">
        <v>339</v>
      </c>
      <c r="V7" s="119" t="s">
        <v>339</v>
      </c>
      <c r="W7" s="119"/>
      <c r="X7" s="119"/>
      <c r="Y7" s="119"/>
      <c r="Z7" s="119"/>
      <c r="AA7" s="119"/>
      <c r="AB7" s="119" t="s">
        <v>337</v>
      </c>
      <c r="AC7" s="119" t="s">
        <v>337</v>
      </c>
      <c r="AD7" s="119" t="s">
        <v>337</v>
      </c>
      <c r="AE7" s="119"/>
      <c r="AF7" s="119"/>
      <c r="AG7" s="119" t="s">
        <v>337</v>
      </c>
      <c r="AH7" s="119" t="s">
        <v>337</v>
      </c>
      <c r="AI7" s="119" t="s">
        <v>337</v>
      </c>
      <c r="AJ7" s="119"/>
      <c r="AM7" s="119"/>
      <c r="AN7" s="28">
        <v>768.13</v>
      </c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CT7" s="843"/>
      <c r="CU7" s="843"/>
      <c r="CV7" s="843"/>
    </row>
    <row r="8" spans="1:100" s="118" customFormat="1" ht="32.25" customHeight="1" thickBot="1" x14ac:dyDescent="0.3">
      <c r="A8" s="117"/>
      <c r="B8" s="823"/>
      <c r="C8" s="823"/>
      <c r="D8" s="820" t="s">
        <v>340</v>
      </c>
      <c r="E8" s="821"/>
      <c r="F8" s="821"/>
      <c r="G8" s="821"/>
      <c r="H8" s="821"/>
      <c r="I8" s="821"/>
      <c r="J8" s="821"/>
      <c r="K8" s="821"/>
      <c r="L8" s="821"/>
      <c r="M8" s="822"/>
      <c r="N8" s="820" t="s">
        <v>341</v>
      </c>
      <c r="O8" s="821"/>
      <c r="P8" s="821"/>
      <c r="Q8" s="822"/>
      <c r="R8" s="820" t="s">
        <v>342</v>
      </c>
      <c r="S8" s="821"/>
      <c r="T8" s="821"/>
      <c r="U8" s="848"/>
      <c r="V8" s="849"/>
      <c r="W8" s="162"/>
      <c r="X8" s="162"/>
      <c r="Y8" s="162"/>
      <c r="Z8" s="162"/>
      <c r="AA8" s="162"/>
      <c r="AB8" s="820" t="s">
        <v>343</v>
      </c>
      <c r="AC8" s="821"/>
      <c r="AD8" s="821"/>
      <c r="AE8" s="821"/>
      <c r="AF8" s="821"/>
      <c r="AG8" s="821"/>
      <c r="AH8" s="821"/>
      <c r="AI8" s="822"/>
      <c r="AJ8" s="119"/>
      <c r="AK8" s="859" t="s">
        <v>344</v>
      </c>
      <c r="AL8" s="860"/>
      <c r="AM8" s="860"/>
      <c r="AN8" s="860"/>
      <c r="AO8" s="860"/>
      <c r="AP8" s="860"/>
      <c r="AQ8" s="860"/>
      <c r="AR8" s="860"/>
      <c r="AS8" s="860"/>
      <c r="AT8" s="860"/>
      <c r="AU8" s="860"/>
      <c r="AV8" s="861"/>
      <c r="AW8" s="859" t="s">
        <v>345</v>
      </c>
      <c r="AX8" s="860"/>
      <c r="AY8" s="860"/>
      <c r="AZ8" s="855" t="s">
        <v>343</v>
      </c>
      <c r="BA8" s="856"/>
      <c r="BB8" s="856"/>
      <c r="BC8" s="856"/>
      <c r="BD8" s="857"/>
      <c r="BE8" s="857"/>
      <c r="BF8" s="857"/>
      <c r="BG8" s="857"/>
      <c r="BH8" s="857"/>
      <c r="BI8" s="857"/>
      <c r="BJ8" s="857"/>
      <c r="BK8" s="858"/>
      <c r="BL8" s="144"/>
      <c r="BM8" s="850" t="s">
        <v>346</v>
      </c>
      <c r="BN8" s="851"/>
      <c r="BO8" s="851"/>
      <c r="BP8" s="851"/>
      <c r="BQ8" s="851"/>
      <c r="BR8" s="852"/>
      <c r="BS8" s="144"/>
      <c r="BT8" s="144"/>
      <c r="BU8" s="796" t="s">
        <v>347</v>
      </c>
      <c r="BV8" s="797"/>
      <c r="BW8" s="797"/>
      <c r="BX8" s="797"/>
      <c r="BY8" s="797"/>
      <c r="BZ8" s="798"/>
      <c r="CA8" s="853" t="s">
        <v>348</v>
      </c>
      <c r="CB8" s="853"/>
      <c r="CC8" s="853"/>
      <c r="CD8" s="853"/>
      <c r="CE8" s="853"/>
      <c r="CF8" s="854"/>
    </row>
    <row r="9" spans="1:100" ht="115.5" customHeight="1" thickBot="1" x14ac:dyDescent="0.3">
      <c r="A9" s="121" t="s">
        <v>349</v>
      </c>
      <c r="B9" s="122" t="s">
        <v>350</v>
      </c>
      <c r="C9" s="208" t="s">
        <v>351</v>
      </c>
      <c r="D9" s="257" t="s">
        <v>352</v>
      </c>
      <c r="E9" s="257" t="s">
        <v>353</v>
      </c>
      <c r="F9" s="257" t="s">
        <v>354</v>
      </c>
      <c r="G9" s="259" t="s">
        <v>355</v>
      </c>
      <c r="H9" s="383" t="s">
        <v>356</v>
      </c>
      <c r="I9" s="384" t="s">
        <v>357</v>
      </c>
      <c r="J9" s="384" t="s">
        <v>358</v>
      </c>
      <c r="K9" s="384" t="s">
        <v>359</v>
      </c>
      <c r="L9" s="384" t="s">
        <v>360</v>
      </c>
      <c r="M9" s="385" t="s">
        <v>361</v>
      </c>
      <c r="N9" s="125" t="s">
        <v>362</v>
      </c>
      <c r="O9" s="126" t="s">
        <v>363</v>
      </c>
      <c r="P9" s="126" t="s">
        <v>364</v>
      </c>
      <c r="Q9" s="127" t="s">
        <v>365</v>
      </c>
      <c r="R9" s="125" t="s">
        <v>366</v>
      </c>
      <c r="S9" s="126" t="s">
        <v>367</v>
      </c>
      <c r="T9" s="643" t="s">
        <v>368</v>
      </c>
      <c r="U9" s="645" t="s">
        <v>369</v>
      </c>
      <c r="V9" s="646" t="s">
        <v>370</v>
      </c>
      <c r="W9" s="201" t="s">
        <v>371</v>
      </c>
      <c r="X9" s="129" t="s">
        <v>372</v>
      </c>
      <c r="Y9" s="130" t="s">
        <v>373</v>
      </c>
      <c r="Z9" s="129" t="s">
        <v>374</v>
      </c>
      <c r="AA9" s="211" t="s">
        <v>375</v>
      </c>
      <c r="AB9" s="128" t="s">
        <v>376</v>
      </c>
      <c r="AC9" s="129" t="s">
        <v>377</v>
      </c>
      <c r="AD9" s="130" t="s">
        <v>378</v>
      </c>
      <c r="AE9" s="247" t="s">
        <v>379</v>
      </c>
      <c r="AF9" s="248" t="s">
        <v>380</v>
      </c>
      <c r="AG9" s="212" t="s">
        <v>381</v>
      </c>
      <c r="AH9" s="213" t="s">
        <v>382</v>
      </c>
      <c r="AI9" s="214" t="s">
        <v>383</v>
      </c>
      <c r="AK9" s="131" t="s">
        <v>384</v>
      </c>
      <c r="AL9" s="132" t="s">
        <v>385</v>
      </c>
      <c r="AM9" s="131" t="s">
        <v>386</v>
      </c>
      <c r="AN9" s="133" t="s">
        <v>387</v>
      </c>
      <c r="AO9" s="134" t="s">
        <v>388</v>
      </c>
      <c r="AP9" s="133" t="s">
        <v>389</v>
      </c>
      <c r="AQ9" s="133" t="s">
        <v>390</v>
      </c>
      <c r="AR9" s="133" t="s">
        <v>391</v>
      </c>
      <c r="AS9" s="133" t="s">
        <v>392</v>
      </c>
      <c r="AT9" s="134" t="s">
        <v>393</v>
      </c>
      <c r="AU9" s="131" t="s">
        <v>394</v>
      </c>
      <c r="AV9" s="132" t="s">
        <v>395</v>
      </c>
      <c r="AW9" s="152" t="s">
        <v>396</v>
      </c>
      <c r="AX9" s="134" t="s">
        <v>397</v>
      </c>
      <c r="AY9" s="134" t="s">
        <v>398</v>
      </c>
      <c r="AZ9" s="547" t="s">
        <v>399</v>
      </c>
      <c r="BA9" s="917" t="s">
        <v>400</v>
      </c>
      <c r="BB9" s="134" t="s">
        <v>401</v>
      </c>
      <c r="BC9" s="132" t="s">
        <v>402</v>
      </c>
      <c r="BD9" s="547" t="s">
        <v>403</v>
      </c>
      <c r="BE9" s="917" t="s">
        <v>404</v>
      </c>
      <c r="BF9" s="132" t="s">
        <v>405</v>
      </c>
      <c r="BG9" s="152" t="s">
        <v>406</v>
      </c>
      <c r="BH9" s="917" t="s">
        <v>734</v>
      </c>
      <c r="BI9" s="561" t="s">
        <v>408</v>
      </c>
      <c r="BJ9" s="561" t="s">
        <v>409</v>
      </c>
      <c r="BK9" s="562" t="s">
        <v>410</v>
      </c>
      <c r="BL9" s="146"/>
      <c r="BM9" s="138" t="s">
        <v>411</v>
      </c>
      <c r="BN9" s="139" t="s">
        <v>412</v>
      </c>
      <c r="BO9" s="140" t="s">
        <v>413</v>
      </c>
      <c r="BP9" s="138" t="s">
        <v>414</v>
      </c>
      <c r="BQ9" s="139" t="s">
        <v>415</v>
      </c>
      <c r="BR9" s="140" t="s">
        <v>416</v>
      </c>
      <c r="BS9" s="146"/>
      <c r="BT9" s="146"/>
      <c r="BU9" s="756" t="s">
        <v>417</v>
      </c>
      <c r="BV9" s="757" t="s">
        <v>418</v>
      </c>
      <c r="BW9" s="757" t="s">
        <v>419</v>
      </c>
      <c r="BX9" s="757" t="s">
        <v>420</v>
      </c>
      <c r="BY9" s="757" t="s">
        <v>421</v>
      </c>
      <c r="BZ9" s="758" t="s">
        <v>422</v>
      </c>
      <c r="CA9" s="161" t="s">
        <v>394</v>
      </c>
      <c r="CB9" s="159" t="s">
        <v>423</v>
      </c>
      <c r="CC9" s="159" t="s">
        <v>424</v>
      </c>
      <c r="CD9" s="168" t="s">
        <v>425</v>
      </c>
      <c r="CE9" s="161" t="s">
        <v>426</v>
      </c>
      <c r="CF9" s="160" t="s">
        <v>427</v>
      </c>
      <c r="CH9" s="85" t="s">
        <v>428</v>
      </c>
      <c r="CI9" s="83" t="s">
        <v>429</v>
      </c>
      <c r="CJ9" s="83" t="s">
        <v>430</v>
      </c>
      <c r="CK9" s="83" t="s">
        <v>431</v>
      </c>
      <c r="CL9" s="84" t="s">
        <v>432</v>
      </c>
      <c r="CM9" s="82" t="s">
        <v>433</v>
      </c>
      <c r="CN9" s="83" t="s">
        <v>434</v>
      </c>
      <c r="CO9" s="83" t="s">
        <v>435</v>
      </c>
      <c r="CP9" s="83" t="s">
        <v>436</v>
      </c>
      <c r="CQ9" s="83" t="s">
        <v>437</v>
      </c>
      <c r="CR9" s="83" t="s">
        <v>438</v>
      </c>
      <c r="CS9" s="84" t="s">
        <v>5</v>
      </c>
    </row>
    <row r="10" spans="1:100" s="418" customFormat="1" ht="21.75" customHeight="1" x14ac:dyDescent="0.25">
      <c r="A10" s="180">
        <v>46108.5</v>
      </c>
      <c r="B10" s="180">
        <v>46108.541666666664</v>
      </c>
      <c r="C10" s="256">
        <f>IF(B10="","",IF(A10="","",(B10-A10)*24))</f>
        <v>0.99999999994179234</v>
      </c>
      <c r="D10" s="258" cm="1">
        <f t="array" ref="D10">_xll.PITimeDat('3-Dados_Totalizados_27&amp;28_03'!$D$7,'3-Dados_Totalizados_27&amp;28_03'!B10,"","interpolated")</f>
        <v>2142.5907486989195</v>
      </c>
      <c r="E10" s="258" cm="1">
        <f t="array" ref="E10">_xll.PITimeDat($E$7,B10,"","interpolated")</f>
        <v>2.446923436863872E-2</v>
      </c>
      <c r="F10" s="258" cm="1">
        <f t="array" ref="F10">_xll.PITimeDat($F$7,B10,"","interpolated")</f>
        <v>2.4469250001474565E-2</v>
      </c>
      <c r="G10" s="258" cm="1">
        <f t="array" ref="G10">_xll.PITimeDat($G$7,B10,"","interpolated")</f>
        <v>14.572083110635386</v>
      </c>
      <c r="H10" s="415">
        <v>307.82499999999999</v>
      </c>
      <c r="I10" s="392">
        <v>0</v>
      </c>
      <c r="J10" s="392">
        <v>0.184</v>
      </c>
      <c r="K10" s="392" cm="1">
        <f t="array" ref="K10">_xll.PITimeDat($K$7,B10,"","interpolated")</f>
        <v>0.36083365590126942</v>
      </c>
      <c r="L10" s="392">
        <v>307.82499999999999</v>
      </c>
      <c r="M10" s="393">
        <f>L10+J10</f>
        <v>308.00900000000001</v>
      </c>
      <c r="N10" s="381">
        <v>1</v>
      </c>
      <c r="O10" s="235">
        <v>1</v>
      </c>
      <c r="P10" s="235">
        <v>1</v>
      </c>
      <c r="Q10" s="236">
        <v>1</v>
      </c>
      <c r="R10" s="123">
        <f>H10*N10</f>
        <v>307.82499999999999</v>
      </c>
      <c r="S10" s="124">
        <f>I10*O10</f>
        <v>0</v>
      </c>
      <c r="T10" s="644">
        <f>J10*P10</f>
        <v>0.184</v>
      </c>
      <c r="U10" s="647">
        <f>L10*Q10</f>
        <v>307.82499999999999</v>
      </c>
      <c r="V10" s="388">
        <f>R10+S10+T10</f>
        <v>308.00900000000001</v>
      </c>
      <c r="W10" s="237">
        <v>552.33000000000004</v>
      </c>
      <c r="X10" s="237">
        <v>82.05</v>
      </c>
      <c r="Y10" s="237">
        <v>622.78</v>
      </c>
      <c r="Z10" s="237">
        <v>569.64</v>
      </c>
      <c r="AA10" s="238">
        <v>997.05</v>
      </c>
      <c r="AB10" s="234">
        <v>230.578</v>
      </c>
      <c r="AC10" s="239">
        <v>77.247</v>
      </c>
      <c r="AD10" s="240">
        <v>0.184</v>
      </c>
      <c r="AE10" s="241">
        <f>AB10+AC10</f>
        <v>307.82499999999999</v>
      </c>
      <c r="AF10" s="249">
        <f>AE10+AD10</f>
        <v>308.00900000000001</v>
      </c>
      <c r="AG10" s="242">
        <v>268.13600000000002</v>
      </c>
      <c r="AH10" s="243">
        <v>88.692999999999998</v>
      </c>
      <c r="AI10" s="244">
        <v>0.14699999999999999</v>
      </c>
      <c r="AJ10" s="417"/>
      <c r="AK10" s="91">
        <f>'SEP_27&amp;28_03_OLEO'!E4</f>
        <v>62.82</v>
      </c>
      <c r="AL10" s="94">
        <f>'SEP_27&amp;28_03_OLEO'!D4</f>
        <v>0.84334999999999993</v>
      </c>
      <c r="AM10" s="91">
        <f>'SEP_27&amp;28_03_OLEO'!I4</f>
        <v>321.77199999999999</v>
      </c>
      <c r="AN10" s="167">
        <v>768.13</v>
      </c>
      <c r="AO10" s="93">
        <f>AN10/1000*AM10</f>
        <v>247.16272635999999</v>
      </c>
      <c r="AP10" s="165">
        <f>'SEP_27&amp;28_03_OLEO'!K4</f>
        <v>269.90699999999998</v>
      </c>
      <c r="AQ10" s="92">
        <f>'SEP_27&amp;28_03_GAS'!I4</f>
        <v>63.6434</v>
      </c>
      <c r="AR10" s="92">
        <f>'SEP_27&amp;28_03_AGUA'!J4</f>
        <v>0</v>
      </c>
      <c r="AS10" s="92">
        <f>AO10+AQ10</f>
        <v>310.80612636000001</v>
      </c>
      <c r="AT10" s="93">
        <f>AO10+AQ10+AR10</f>
        <v>310.80612636000001</v>
      </c>
      <c r="AU10" s="281">
        <f>IF(AS10=0,"",(U10/AS10-1)*100)</f>
        <v>-0.95915945895707067</v>
      </c>
      <c r="AV10" s="282">
        <f>IF(AT10=0,"",(V10/AT10-1)*100)</f>
        <v>-0.8999585666983112</v>
      </c>
      <c r="AW10" s="145">
        <f>$W$55</f>
        <v>72.69</v>
      </c>
      <c r="AX10" s="92">
        <f>$V$55</f>
        <v>0.84030000000000005</v>
      </c>
      <c r="AY10" s="93">
        <f>Q55</f>
        <v>7.0000000000000007E-2</v>
      </c>
      <c r="AZ10" s="545">
        <f>'SEP_27&amp;28_03_OLEO'!J4*(1-'3-Dados_Totalizados_27&amp;28_03'!AY10/100)</f>
        <v>312.49809809999999</v>
      </c>
      <c r="BA10" s="153">
        <f>AZ10*AX10</f>
        <v>262.59215183343002</v>
      </c>
      <c r="BB10" s="544">
        <v>861.88</v>
      </c>
      <c r="BC10" s="282">
        <f>BA10*BB10/1000</f>
        <v>226.32292382219666</v>
      </c>
      <c r="BD10" s="545">
        <f>BA10*AW10</f>
        <v>19087.823516772027</v>
      </c>
      <c r="BE10" s="153">
        <f>('SEP_27&amp;28_03_GAS'!H4+'3-Dados_Totalizados_27&amp;28_03'!BD10)/1000</f>
        <v>96.119923516772033</v>
      </c>
      <c r="BF10" s="282">
        <f>(BE10*87.381)/100</f>
        <v>83.990550368190583</v>
      </c>
      <c r="BG10" s="559">
        <f>'SEP_27&amp;28_03_OLEO'!J6*(AY10/100)</f>
        <v>0.21872130000000004</v>
      </c>
      <c r="BH10" s="153">
        <f>'SEP_27&amp;28_03_AGUA'!I4+'3-Dados_Totalizados_27&amp;28_03'!BG10</f>
        <v>0.21872130000000004</v>
      </c>
      <c r="BI10" s="436">
        <f>(BH10*995.696)/1000</f>
        <v>0.21777992352480005</v>
      </c>
      <c r="BJ10" s="563">
        <f>BC10+BF10</f>
        <v>310.31347419038724</v>
      </c>
      <c r="BK10" s="564">
        <f>BJ10+BI10</f>
        <v>310.53125411391204</v>
      </c>
      <c r="BL10" s="111"/>
      <c r="BM10" s="176" t="e">
        <f>(AB10-#REF!)/#REF!</f>
        <v>#REF!</v>
      </c>
      <c r="BN10" s="177">
        <f t="shared" ref="BN10:BN33" si="0">(AC10-BF10)/BF10</f>
        <v>-8.0289393730946929E-2</v>
      </c>
      <c r="BO10" s="177">
        <f t="shared" ref="BO10:BO33" si="1">(AD10-BI10)/BI10</f>
        <v>-0.15511036544630483</v>
      </c>
      <c r="BP10" s="176">
        <f t="shared" ref="BP10:BP33" si="2">(AG10-BA10)/BA10</f>
        <v>2.1112010118591162E-2</v>
      </c>
      <c r="BQ10" s="177">
        <f t="shared" ref="BQ10:BQ33" si="3">(AH10-BE10)/BE10</f>
        <v>-7.7267264111754164E-2</v>
      </c>
      <c r="BR10" s="178">
        <f t="shared" ref="BR10:BR33" si="4">(AI10-BH10)/BH10</f>
        <v>-0.32791182203105063</v>
      </c>
      <c r="BS10" s="111"/>
      <c r="BT10" s="111"/>
      <c r="BU10" s="91">
        <f>((R10/AO10)-1)*100</f>
        <v>24.543455452762551</v>
      </c>
      <c r="BV10" s="761">
        <f>BA10-AG10</f>
        <v>-5.543848166570001</v>
      </c>
      <c r="BW10" s="762">
        <f>(S10/AQ10-1)*100</f>
        <v>-100</v>
      </c>
      <c r="BX10" s="761">
        <f>AQ10-S10</f>
        <v>63.6434</v>
      </c>
      <c r="BY10" s="762" t="e">
        <f>(T10/AR10-1)*100</f>
        <v>#DIV/0!</v>
      </c>
      <c r="BZ10" s="761">
        <f>AR10-T10</f>
        <v>-0.184</v>
      </c>
      <c r="CA10" s="763">
        <f>((U10/AS10)-1)*100</f>
        <v>-0.95915945895707067</v>
      </c>
      <c r="CB10" s="763">
        <f>((V10/AT10)-1)*100</f>
        <v>-0.8999585666983112</v>
      </c>
      <c r="CC10" s="763">
        <f>((V10/AT10)-1)*100</f>
        <v>-0.8999585666983112</v>
      </c>
      <c r="CD10" s="93">
        <f t="shared" ref="CD10:CD33" si="5">AT10-V10</f>
        <v>2.7971263599999929</v>
      </c>
      <c r="CE10" s="169" t="str">
        <f>IF(CA10="","",IF(ABS(CA10)&gt;10,"FORA","OK"))</f>
        <v>OK</v>
      </c>
      <c r="CF10" s="170" t="str">
        <f>IF(CC10="","",IF(ABS(CC10)&gt;10,"FORA","OK"))</f>
        <v>OK</v>
      </c>
      <c r="CH10" s="95" t="s">
        <v>12</v>
      </c>
      <c r="CI10" s="419" t="s">
        <v>12</v>
      </c>
      <c r="CJ10" s="419" t="s">
        <v>12</v>
      </c>
      <c r="CK10" s="419" t="s">
        <v>12</v>
      </c>
      <c r="CL10" s="420" t="s">
        <v>12</v>
      </c>
      <c r="CM10" s="421" t="s">
        <v>12</v>
      </c>
      <c r="CN10" s="419" t="s">
        <v>12</v>
      </c>
      <c r="CO10" s="419" t="s">
        <v>12</v>
      </c>
      <c r="CP10" s="419" t="s">
        <v>12</v>
      </c>
      <c r="CQ10" s="422" t="s">
        <v>12</v>
      </c>
      <c r="CR10" s="75" t="s">
        <v>12</v>
      </c>
      <c r="CS10" s="96"/>
    </row>
    <row r="11" spans="1:100" s="418" customFormat="1" ht="21.75" customHeight="1" x14ac:dyDescent="0.25">
      <c r="A11" s="180">
        <v>46108.541666666664</v>
      </c>
      <c r="B11" s="180">
        <v>46108.583333333336</v>
      </c>
      <c r="C11" s="90">
        <f t="shared" ref="C11:C33" si="6">IF(B11="","",IF(A11="","",(B11-A11)*24))</f>
        <v>1.0000000001164153</v>
      </c>
      <c r="D11" s="258" cm="1">
        <f t="array" ref="D11">_xll.PITimeDat('3-Dados_Totalizados_27&amp;28_03'!$D$7,'3-Dados_Totalizados_27&amp;28_03'!$B$11,"","interpolated")</f>
        <v>2145.2045807144368</v>
      </c>
      <c r="E11" s="258" cm="1">
        <f t="array" ref="E11">_xll.PITimeDat($E$7,B11,"","interpolated")</f>
        <v>3.6666065934769843E-2</v>
      </c>
      <c r="F11" s="258" cm="1">
        <f t="array" ref="F11">_xll.PITimeDat($F$7,B11,"","interpolated")</f>
        <v>3.6666136247238398E-2</v>
      </c>
      <c r="G11" s="258" cm="1">
        <f t="array" ref="G11">_xll.PITimeDat($G$7,B11,"","interpolated")</f>
        <v>14.580682594148977</v>
      </c>
      <c r="H11" s="416">
        <v>308.93200000000002</v>
      </c>
      <c r="I11" s="386">
        <v>0</v>
      </c>
      <c r="J11" s="386">
        <v>0.18099999999999999</v>
      </c>
      <c r="K11" s="386" cm="1">
        <f t="array" ref="K11">_xll.PITimeDat($K$7,B11,"","interpolated")</f>
        <v>0.3615545985512823</v>
      </c>
      <c r="L11" s="386">
        <v>307.68200000000002</v>
      </c>
      <c r="M11" s="388">
        <f>L11+J11</f>
        <v>307.863</v>
      </c>
      <c r="N11" s="381">
        <v>1</v>
      </c>
      <c r="O11" s="235">
        <v>1</v>
      </c>
      <c r="P11" s="235">
        <v>1</v>
      </c>
      <c r="Q11" s="236">
        <v>1</v>
      </c>
      <c r="R11" s="123">
        <f t="shared" ref="R11:R33" si="7">H11*N11</f>
        <v>308.93200000000002</v>
      </c>
      <c r="S11" s="124">
        <f t="shared" ref="S11:S33" si="8">I11*O11</f>
        <v>0</v>
      </c>
      <c r="T11" s="644">
        <f t="shared" ref="T11:T33" si="9">J11*P11</f>
        <v>0.18099999999999999</v>
      </c>
      <c r="U11" s="647">
        <f t="shared" ref="U11:U33" si="10">L11*Q11</f>
        <v>307.68200000000002</v>
      </c>
      <c r="V11" s="388">
        <f t="shared" ref="V11:V33" si="11">R11+S11+T11</f>
        <v>309.113</v>
      </c>
      <c r="W11" s="237">
        <v>552.1</v>
      </c>
      <c r="X11" s="237">
        <v>82.07</v>
      </c>
      <c r="Y11" s="237">
        <v>622.74</v>
      </c>
      <c r="Z11" s="237">
        <v>569.63</v>
      </c>
      <c r="AA11" s="238">
        <v>997.05</v>
      </c>
      <c r="AB11" s="234">
        <v>230.471</v>
      </c>
      <c r="AC11" s="239">
        <v>77.210999999999999</v>
      </c>
      <c r="AD11" s="240">
        <v>0.18</v>
      </c>
      <c r="AE11" s="242">
        <f>AB11+AC11</f>
        <v>307.68200000000002</v>
      </c>
      <c r="AF11" s="250">
        <f>AE11+AD11</f>
        <v>307.86200000000002</v>
      </c>
      <c r="AG11" s="242">
        <v>268.012</v>
      </c>
      <c r="AH11" s="243">
        <v>88.652000000000001</v>
      </c>
      <c r="AI11" s="244">
        <v>0.14499999999999999</v>
      </c>
      <c r="AJ11" s="417"/>
      <c r="AK11" s="91">
        <f>'SEP_27&amp;28_03_OLEO'!E5</f>
        <v>62.85</v>
      </c>
      <c r="AL11" s="94">
        <f>'SEP_27&amp;28_03_OLEO'!D5</f>
        <v>84.333839999999995</v>
      </c>
      <c r="AM11" s="91">
        <f>'SEP_27&amp;28_03_OLEO'!I5</f>
        <v>321.94099999999997</v>
      </c>
      <c r="AN11" s="167">
        <v>768.13</v>
      </c>
      <c r="AO11" s="93">
        <f>AN11/1000*AM11</f>
        <v>247.29254032999998</v>
      </c>
      <c r="AP11" s="165">
        <f>'SEP_27&amp;28_03_OLEO'!K5</f>
        <v>270.04199999999997</v>
      </c>
      <c r="AQ11" s="92">
        <f>'SEP_27&amp;28_03_GAS'!I5</f>
        <v>63.604300000000002</v>
      </c>
      <c r="AR11" s="92">
        <f>'SEP_27&amp;28_03_AGUA'!J5</f>
        <v>0</v>
      </c>
      <c r="AS11" s="92">
        <f t="shared" ref="AS11:AS33" si="12">AO11+AQ11</f>
        <v>310.89684032999997</v>
      </c>
      <c r="AT11" s="93">
        <f t="shared" ref="AT11:AT33" si="13">AO11+AQ11+AR11</f>
        <v>310.89684032999997</v>
      </c>
      <c r="AU11" s="281">
        <f>IF(AS11=0,"",(U11/AS11-1)*100)</f>
        <v>-1.0340537158845309</v>
      </c>
      <c r="AV11" s="282">
        <f t="shared" ref="AV11:AV33" si="14">IF(AT11=0,"",(V11/AT11-1)*100)</f>
        <v>-0.5737724217803275</v>
      </c>
      <c r="AW11" s="145">
        <f t="shared" ref="AW11:AW33" si="15">$W$55</f>
        <v>72.69</v>
      </c>
      <c r="AX11" s="92">
        <f t="shared" ref="AX11:AX33" si="16">$V$55</f>
        <v>0.84030000000000005</v>
      </c>
      <c r="AY11" s="93">
        <f t="shared" ref="AY11:AY33" si="17">Q56</f>
        <v>7.0000000000000007E-2</v>
      </c>
      <c r="AZ11" s="545">
        <f>'SEP_27&amp;28_03_OLEO'!J5*(1-'3-Dados_Totalizados_27&amp;28_03'!AY11/100)</f>
        <v>312.65698679999997</v>
      </c>
      <c r="BA11" s="153">
        <f>AZ11*AX11</f>
        <v>262.72566600803998</v>
      </c>
      <c r="BB11" s="544">
        <v>861.87999999999954</v>
      </c>
      <c r="BC11" s="282">
        <f t="shared" ref="BC11:BC33" si="18">BA11*BB11/1000</f>
        <v>226.43799701900937</v>
      </c>
      <c r="BD11" s="545">
        <f t="shared" ref="BD11:BD33" si="19">BA11*AW11</f>
        <v>19097.528662124427</v>
      </c>
      <c r="BE11" s="153">
        <f>('SEP_27&amp;28_03_GAS'!H5+'3-Dados_Totalizados_27&amp;28_03'!BD11)/1000</f>
        <v>96.082428662124428</v>
      </c>
      <c r="BF11" s="282">
        <f t="shared" ref="BF11:BF33" si="20">(BE11*87.381)/100</f>
        <v>83.957786989250948</v>
      </c>
      <c r="BG11" s="559">
        <f>'SEP_27&amp;28_03_OLEO'!J7*(AY11/100)</f>
        <v>0.21826910000000002</v>
      </c>
      <c r="BH11" s="153">
        <f>'SEP_27&amp;28_03_AGUA'!I5+'3-Dados_Totalizados_27&amp;28_03'!BG11</f>
        <v>0.21826910000000002</v>
      </c>
      <c r="BI11" s="436">
        <f t="shared" ref="BI11:BI33" si="21">(BH11*995.696)/1000</f>
        <v>0.21732966979360002</v>
      </c>
      <c r="BJ11" s="548">
        <f t="shared" ref="BJ11:BJ33" si="22">BC11+BF11</f>
        <v>310.39578400826031</v>
      </c>
      <c r="BK11" s="546">
        <f t="shared" ref="BK11:BK33" si="23">BJ11+BI11</f>
        <v>310.61311367805394</v>
      </c>
      <c r="BL11" s="111"/>
      <c r="BM11" s="176" t="e">
        <f>(AB11-#REF!)/#REF!</f>
        <v>#REF!</v>
      </c>
      <c r="BN11" s="177">
        <f t="shared" si="0"/>
        <v>-8.0359276145698502E-2</v>
      </c>
      <c r="BO11" s="177">
        <f t="shared" si="1"/>
        <v>-0.17176517973386862</v>
      </c>
      <c r="BP11" s="176">
        <f t="shared" si="2"/>
        <v>2.0121117484571328E-2</v>
      </c>
      <c r="BQ11" s="177">
        <f t="shared" si="3"/>
        <v>-7.7333897212919778E-2</v>
      </c>
      <c r="BR11" s="178">
        <f t="shared" si="4"/>
        <v>-0.33568242137801468</v>
      </c>
      <c r="BS11" s="111"/>
      <c r="BT11" s="111"/>
      <c r="BU11" s="91">
        <f t="shared" ref="BU11:BU33" si="24">((R11/AO11)-1)*100</f>
        <v>24.925725453644954</v>
      </c>
      <c r="BV11" s="761">
        <f t="shared" ref="BV10:BV33" si="25">BA11-AG11</f>
        <v>-5.2863339919600207</v>
      </c>
      <c r="BW11" s="762">
        <f t="shared" ref="BW11:BW33" si="26">(S11/AQ11-1)*100</f>
        <v>-100</v>
      </c>
      <c r="BX11" s="761">
        <f t="shared" ref="BX11:BX33" si="27">AQ11-S11</f>
        <v>63.604300000000002</v>
      </c>
      <c r="BY11" s="762" t="e">
        <f t="shared" ref="BY11:BY33" si="28">(T11/AR11-1)*100</f>
        <v>#DIV/0!</v>
      </c>
      <c r="BZ11" s="761">
        <f t="shared" ref="BZ11:BZ33" si="29">AR11-T11</f>
        <v>-0.18099999999999999</v>
      </c>
      <c r="CA11" s="763">
        <f t="shared" ref="CA11:CA32" si="30">((U11/AS11)-1)*100</f>
        <v>-1.0340537158845309</v>
      </c>
      <c r="CB11" s="764">
        <f t="shared" ref="CB11:CB33" si="31">AS11-U11</f>
        <v>3.2148403299999586</v>
      </c>
      <c r="CC11" s="763">
        <f t="shared" ref="CC11:CC33" si="32">((V11/AT11)-1)*100</f>
        <v>-0.5737724217803275</v>
      </c>
      <c r="CD11" s="93">
        <f t="shared" si="5"/>
        <v>1.7838403299999754</v>
      </c>
      <c r="CE11" s="169" t="str">
        <f t="shared" ref="CE11:CE33" si="33">IF(CA11="","",IF(ABS(CA11)&gt;10,"FORA","OK"))</f>
        <v>OK</v>
      </c>
      <c r="CF11" s="170" t="str">
        <f t="shared" ref="CF11:CF33" si="34">IF(CC11="","",IF(ABS(CC11)&gt;10,"FORA","OK"))</f>
        <v>OK</v>
      </c>
      <c r="CH11" s="95">
        <f t="shared" ref="CH11:CH33" si="35">IF(R11="","",R11-R10)</f>
        <v>1.1070000000000277</v>
      </c>
      <c r="CI11" s="76">
        <f t="shared" ref="CI11:CI33" si="36">IF(S11="","",S11-S10)</f>
        <v>0</v>
      </c>
      <c r="CJ11" s="33">
        <f t="shared" ref="CJ11:CJ33" si="37">IF(T11="","",T11-T10)</f>
        <v>-3.0000000000000027E-3</v>
      </c>
      <c r="CK11" s="76">
        <f>IF(OR(CH11="",CI11=""),"",CH11+CI11)</f>
        <v>1.1070000000000277</v>
      </c>
      <c r="CL11" s="97">
        <f t="shared" ref="CL11:CL33" si="38">IF(OR(CK11="",CJ11=""),"",CK11+CJ11)</f>
        <v>1.1040000000000276</v>
      </c>
      <c r="CM11" s="98">
        <f t="shared" ref="CM11:CM33" si="39">IF(AO11="","",AO11-AO10)</f>
        <v>0.12981396999998651</v>
      </c>
      <c r="CN11" s="76">
        <f t="shared" ref="CN11:CN33" si="40">IF(AQ11="","",AQ11-AQ10)</f>
        <v>-3.9099999999997692E-2</v>
      </c>
      <c r="CO11" s="76">
        <f t="shared" ref="CO11:CO33" si="41">IF(AR11="","",AR11-AR10)</f>
        <v>0</v>
      </c>
      <c r="CP11" s="76">
        <f>IF(OR(CM11="",CN11=""),"",CM11+CN11)</f>
        <v>9.0713969999988819E-2</v>
      </c>
      <c r="CQ11" s="47">
        <f>IF(OR(CP11="",CO11=""),"",CP11+CO11)</f>
        <v>9.0713969999988819E-2</v>
      </c>
      <c r="CR11" s="75" t="s">
        <v>12</v>
      </c>
      <c r="CS11" s="96"/>
    </row>
    <row r="12" spans="1:100" s="418" customFormat="1" ht="21.75" customHeight="1" x14ac:dyDescent="0.25">
      <c r="A12" s="180">
        <v>46108.58333321759</v>
      </c>
      <c r="B12" s="180">
        <v>46108.625000057873</v>
      </c>
      <c r="C12" s="90">
        <f t="shared" si="6"/>
        <v>1.0000041667954065</v>
      </c>
      <c r="D12" s="258" cm="1">
        <f t="array" ref="D12">_xll.PITimeDat('3-Dados_Totalizados_27&amp;28_03'!$D$7,'3-Dados_Totalizados_27&amp;28_03'!B12,"","interpolated")</f>
        <v>2144.6045975415554</v>
      </c>
      <c r="E12" s="258" cm="1">
        <f t="array" ref="E12">_xll.PITimeDat($E$7,B12,"","interpolated")</f>
        <v>3.6138184807647515E-2</v>
      </c>
      <c r="F12" s="258" cm="1">
        <f t="array" ref="F12">_xll.PITimeDat($F$7,B12,"","interpolated")</f>
        <v>3.6138092790634464E-2</v>
      </c>
      <c r="G12" s="258" cm="1">
        <f t="array" ref="G12">_xll.PITimeDat($G$7,B12,"","interpolated")</f>
        <v>14.579062743038998</v>
      </c>
      <c r="H12" s="416">
        <v>307.76499999999999</v>
      </c>
      <c r="I12" s="386">
        <v>0</v>
      </c>
      <c r="J12" s="386">
        <v>0.19600000000000001</v>
      </c>
      <c r="K12" s="386" cm="1">
        <f t="array" ref="K12">_xll.PITimeDat($K$7,B12,"","interpolated")</f>
        <v>0.36151247734378877</v>
      </c>
      <c r="L12" s="386">
        <v>307.71199999999999</v>
      </c>
      <c r="M12" s="388">
        <f>L12+J12</f>
        <v>307.90800000000002</v>
      </c>
      <c r="N12" s="381">
        <v>1</v>
      </c>
      <c r="O12" s="235">
        <v>1</v>
      </c>
      <c r="P12" s="235">
        <v>1</v>
      </c>
      <c r="Q12" s="236">
        <v>1</v>
      </c>
      <c r="R12" s="123">
        <f t="shared" si="7"/>
        <v>307.76499999999999</v>
      </c>
      <c r="S12" s="124">
        <f t="shared" si="8"/>
        <v>0</v>
      </c>
      <c r="T12" s="644">
        <f t="shared" si="9"/>
        <v>0.19600000000000001</v>
      </c>
      <c r="U12" s="647">
        <f t="shared" si="10"/>
        <v>307.71199999999999</v>
      </c>
      <c r="V12" s="388">
        <f t="shared" si="11"/>
        <v>307.96100000000001</v>
      </c>
      <c r="W12" s="237">
        <v>551.92999999999995</v>
      </c>
      <c r="X12" s="237">
        <v>82.09</v>
      </c>
      <c r="Y12" s="237">
        <v>622.70000000000005</v>
      </c>
      <c r="Z12" s="237">
        <v>569.61</v>
      </c>
      <c r="AA12" s="238">
        <v>997.05</v>
      </c>
      <c r="AB12" s="234">
        <v>230.494</v>
      </c>
      <c r="AC12" s="239">
        <v>77.218000000000004</v>
      </c>
      <c r="AD12" s="240">
        <v>0.19600000000000001</v>
      </c>
      <c r="AE12" s="242">
        <f t="shared" ref="AE12:AE33" si="42">AB12+AC12</f>
        <v>307.71199999999999</v>
      </c>
      <c r="AF12" s="250">
        <f t="shared" ref="AF12:AF33" si="43">AE12+AD12</f>
        <v>307.90800000000002</v>
      </c>
      <c r="AG12" s="242">
        <v>268.03800000000001</v>
      </c>
      <c r="AH12" s="243">
        <v>88.66</v>
      </c>
      <c r="AI12" s="244">
        <v>0.157</v>
      </c>
      <c r="AJ12" s="417"/>
      <c r="AK12" s="91">
        <f>'SEP_27&amp;28_03_OLEO'!E6</f>
        <v>62.89</v>
      </c>
      <c r="AL12" s="94">
        <f>'SEP_27&amp;28_03_OLEO'!D6</f>
        <v>84.33120000000001</v>
      </c>
      <c r="AM12" s="91">
        <f>'SEP_27&amp;28_03_OLEO'!I6</f>
        <v>321.52300000000002</v>
      </c>
      <c r="AN12" s="167">
        <v>768.13</v>
      </c>
      <c r="AO12" s="93">
        <f>AN12/1000*AM12</f>
        <v>246.97146199000002</v>
      </c>
      <c r="AP12" s="165">
        <f>'SEP_27&amp;28_03_OLEO'!K6</f>
        <v>269.68400000000003</v>
      </c>
      <c r="AQ12" s="92">
        <f>'SEP_27&amp;28_03_GAS'!I6</f>
        <v>63.5702</v>
      </c>
      <c r="AR12" s="92">
        <f>'SEP_27&amp;28_03_AGUA'!J6</f>
        <v>0</v>
      </c>
      <c r="AS12" s="92">
        <f t="shared" si="12"/>
        <v>310.54166199000002</v>
      </c>
      <c r="AT12" s="93">
        <f t="shared" si="13"/>
        <v>310.54166199000002</v>
      </c>
      <c r="AU12" s="281">
        <f t="shared" ref="AU12:AU33" si="44">IF(AS12=0,"",(U12/AS12-1)*100)</f>
        <v>-0.91120204994946663</v>
      </c>
      <c r="AV12" s="282">
        <f t="shared" si="14"/>
        <v>-0.83101957188698172</v>
      </c>
      <c r="AW12" s="145">
        <f t="shared" si="15"/>
        <v>72.69</v>
      </c>
      <c r="AX12" s="92">
        <f t="shared" si="16"/>
        <v>0.84030000000000005</v>
      </c>
      <c r="AY12" s="93">
        <f t="shared" si="17"/>
        <v>7.0000000000000007E-2</v>
      </c>
      <c r="AZ12" s="545">
        <f>'SEP_27&amp;28_03_OLEO'!J6*(1-'3-Dados_Totalizados_27&amp;28_03'!AY12/100)</f>
        <v>312.24027869999998</v>
      </c>
      <c r="BA12" s="153">
        <f t="shared" ref="BA11:BA32" si="45">AZ12*AX12</f>
        <v>262.37550619160999</v>
      </c>
      <c r="BB12" s="544">
        <v>861.88</v>
      </c>
      <c r="BC12" s="282">
        <f t="shared" si="18"/>
        <v>226.1362012764248</v>
      </c>
      <c r="BD12" s="545">
        <f t="shared" si="19"/>
        <v>19072.075545068128</v>
      </c>
      <c r="BE12" s="153">
        <f>('SEP_27&amp;28_03_GAS'!H6+'3-Dados_Totalizados_27&amp;28_03'!BD12)/1000</f>
        <v>96.015575545068131</v>
      </c>
      <c r="BF12" s="282">
        <f t="shared" si="20"/>
        <v>83.899370067035974</v>
      </c>
      <c r="BG12" s="559">
        <f>'SEP_27&amp;28_03_OLEO'!J8*(AY12/100)</f>
        <v>0.21800310000000003</v>
      </c>
      <c r="BH12" s="153">
        <f>'SEP_27&amp;28_03_AGUA'!I6+'3-Dados_Totalizados_27&amp;28_03'!BG12</f>
        <v>0.21800310000000003</v>
      </c>
      <c r="BI12" s="436">
        <f t="shared" si="21"/>
        <v>0.21706481465760002</v>
      </c>
      <c r="BJ12" s="548">
        <f t="shared" si="22"/>
        <v>310.03557134346079</v>
      </c>
      <c r="BK12" s="546">
        <f t="shared" si="23"/>
        <v>310.25263615811838</v>
      </c>
      <c r="BL12" s="111"/>
      <c r="BM12" s="176" t="e">
        <f>(AB12-#REF!)/#REF!</f>
        <v>#REF!</v>
      </c>
      <c r="BN12" s="177">
        <f t="shared" si="0"/>
        <v>-7.9635521240475654E-2</v>
      </c>
      <c r="BO12" s="177">
        <f t="shared" si="1"/>
        <v>-9.704389304562254E-2</v>
      </c>
      <c r="BP12" s="176">
        <f t="shared" si="2"/>
        <v>2.1581640338998592E-2</v>
      </c>
      <c r="BQ12" s="177">
        <f t="shared" si="3"/>
        <v>-7.660814928527454E-2</v>
      </c>
      <c r="BR12" s="178">
        <f t="shared" si="4"/>
        <v>-0.27982675475715724</v>
      </c>
      <c r="BS12" s="111"/>
      <c r="BT12" s="111"/>
      <c r="BU12" s="91">
        <f t="shared" si="24"/>
        <v>24.615612476093098</v>
      </c>
      <c r="BV12" s="761">
        <f t="shared" si="25"/>
        <v>-5.6624938083900247</v>
      </c>
      <c r="BW12" s="762">
        <f t="shared" si="26"/>
        <v>-100</v>
      </c>
      <c r="BX12" s="761">
        <f t="shared" si="27"/>
        <v>63.5702</v>
      </c>
      <c r="BY12" s="762" t="e">
        <f t="shared" si="28"/>
        <v>#DIV/0!</v>
      </c>
      <c r="BZ12" s="761">
        <f t="shared" si="29"/>
        <v>-0.19600000000000001</v>
      </c>
      <c r="CA12" s="763">
        <f t="shared" si="30"/>
        <v>-0.91120204994946663</v>
      </c>
      <c r="CB12" s="764">
        <f t="shared" si="31"/>
        <v>2.8296619900000337</v>
      </c>
      <c r="CC12" s="763">
        <f t="shared" si="32"/>
        <v>-0.83101957188698172</v>
      </c>
      <c r="CD12" s="93">
        <f t="shared" si="5"/>
        <v>2.5806619900000101</v>
      </c>
      <c r="CE12" s="169" t="str">
        <f t="shared" si="33"/>
        <v>OK</v>
      </c>
      <c r="CF12" s="170" t="str">
        <f t="shared" si="34"/>
        <v>OK</v>
      </c>
      <c r="CH12" s="95">
        <f t="shared" si="35"/>
        <v>-1.16700000000003</v>
      </c>
      <c r="CI12" s="76">
        <f t="shared" si="36"/>
        <v>0</v>
      </c>
      <c r="CJ12" s="33">
        <f t="shared" si="37"/>
        <v>1.5000000000000013E-2</v>
      </c>
      <c r="CK12" s="76">
        <f t="shared" ref="CK12:CK33" si="46">IF(OR(CH12="",CI12=""),"",CH12+CI12)</f>
        <v>-1.16700000000003</v>
      </c>
      <c r="CL12" s="97">
        <f t="shared" si="38"/>
        <v>-1.1520000000000299</v>
      </c>
      <c r="CM12" s="98">
        <f t="shared" si="39"/>
        <v>-0.32107833999995705</v>
      </c>
      <c r="CN12" s="76">
        <f t="shared" si="40"/>
        <v>-3.410000000000224E-2</v>
      </c>
      <c r="CO12" s="76">
        <f t="shared" si="41"/>
        <v>0</v>
      </c>
      <c r="CP12" s="76">
        <f t="shared" ref="CP12:CP33" si="47">IF(OR(CM12="",CN12=""),"",CM12+CN12)</f>
        <v>-0.35517833999995929</v>
      </c>
      <c r="CQ12" s="47">
        <f>IF(OR(CP12="",CO12=""),"",CP12+CO12)</f>
        <v>-0.35517833999995929</v>
      </c>
      <c r="CR12" s="75" t="s">
        <v>12</v>
      </c>
      <c r="CS12" s="96"/>
    </row>
    <row r="13" spans="1:100" s="418" customFormat="1" ht="21.75" customHeight="1" x14ac:dyDescent="0.25">
      <c r="A13" s="180">
        <v>46108.624999826388</v>
      </c>
      <c r="B13" s="180">
        <v>46108.66666678241</v>
      </c>
      <c r="C13" s="90">
        <f t="shared" si="6"/>
        <v>1.0000069445231929</v>
      </c>
      <c r="D13" s="258" cm="1">
        <f t="array" ref="D13">_xll.PITimeDat('3-Dados_Totalizados_27&amp;28_03'!$D$7,'3-Dados_Totalizados_27&amp;28_03'!B13,"","interpolated")</f>
        <v>2143.3287207983253</v>
      </c>
      <c r="E13" s="258" cm="1">
        <f t="array" ref="E13">_xll.PITimeDat($E$7,B13,"","interpolated")</f>
        <v>3.448471465678403E-2</v>
      </c>
      <c r="F13" s="258" cm="1">
        <f t="array" ref="F13">_xll.PITimeDat($F$7,B13,"","interpolated")</f>
        <v>3.4484704701588507E-2</v>
      </c>
      <c r="G13" s="258" cm="1">
        <f t="array" ref="G13">_xll.PITimeDat($G$7,B13,"","interpolated")</f>
        <v>14.574994442425302</v>
      </c>
      <c r="H13" s="416">
        <v>306.24700000000001</v>
      </c>
      <c r="I13" s="386">
        <v>0</v>
      </c>
      <c r="J13" s="386">
        <v>0.20399999999999999</v>
      </c>
      <c r="K13" s="386" cm="1">
        <f t="array" ref="K13">_xll.PITimeDat($K$7,B13,"","interpolated")</f>
        <v>0.36141747631465815</v>
      </c>
      <c r="L13" s="386">
        <v>307.55</v>
      </c>
      <c r="M13" s="388">
        <f t="shared" ref="M13:M33" si="48">L13+J13</f>
        <v>307.75400000000002</v>
      </c>
      <c r="N13" s="381">
        <v>1</v>
      </c>
      <c r="O13" s="235">
        <v>1</v>
      </c>
      <c r="P13" s="235">
        <v>1</v>
      </c>
      <c r="Q13" s="236">
        <v>1</v>
      </c>
      <c r="R13" s="123">
        <f t="shared" si="7"/>
        <v>306.24700000000001</v>
      </c>
      <c r="S13" s="124">
        <f t="shared" si="8"/>
        <v>0</v>
      </c>
      <c r="T13" s="644">
        <f t="shared" si="9"/>
        <v>0.20399999999999999</v>
      </c>
      <c r="U13" s="647">
        <f t="shared" si="10"/>
        <v>307.55</v>
      </c>
      <c r="V13" s="388">
        <f t="shared" si="11"/>
        <v>306.45100000000002</v>
      </c>
      <c r="W13" s="237">
        <v>551.9</v>
      </c>
      <c r="X13" s="237">
        <v>82.1</v>
      </c>
      <c r="Y13" s="237">
        <v>622.69000000000005</v>
      </c>
      <c r="Z13" s="237">
        <v>569.6</v>
      </c>
      <c r="AA13" s="238">
        <v>997.05</v>
      </c>
      <c r="AB13" s="234">
        <v>230.37200000000001</v>
      </c>
      <c r="AC13" s="239">
        <v>77.177999999999997</v>
      </c>
      <c r="AD13" s="240">
        <v>0.20499999999999999</v>
      </c>
      <c r="AE13" s="242">
        <f t="shared" si="42"/>
        <v>307.55</v>
      </c>
      <c r="AF13" s="250">
        <f t="shared" si="43"/>
        <v>307.755</v>
      </c>
      <c r="AG13" s="242">
        <v>267.89699999999999</v>
      </c>
      <c r="AH13" s="243">
        <v>88.614000000000004</v>
      </c>
      <c r="AI13" s="244">
        <v>0.16500000000000001</v>
      </c>
      <c r="AJ13" s="417"/>
      <c r="AK13" s="91">
        <f>'SEP_27&amp;28_03_OLEO'!E7</f>
        <v>62.94</v>
      </c>
      <c r="AL13" s="94">
        <f>'SEP_27&amp;28_03_OLEO'!D7</f>
        <v>84.345030000000008</v>
      </c>
      <c r="AM13" s="91">
        <f>'SEP_27&amp;28_03_OLEO'!I7</f>
        <v>320.87099999999998</v>
      </c>
      <c r="AN13" s="167">
        <v>768.13</v>
      </c>
      <c r="AO13" s="93">
        <f t="shared" ref="AO13:AO33" si="49">AN13/1000*AM13</f>
        <v>246.47064122999998</v>
      </c>
      <c r="AP13" s="165">
        <f>'SEP_27&amp;28_03_OLEO'!K7</f>
        <v>269.12599999999998</v>
      </c>
      <c r="AQ13" s="92">
        <f>'SEP_27&amp;28_03_GAS'!I7</f>
        <v>63.662999999999997</v>
      </c>
      <c r="AR13" s="92">
        <f>'SEP_27&amp;28_03_AGUA'!J7</f>
        <v>0</v>
      </c>
      <c r="AS13" s="92">
        <f t="shared" si="12"/>
        <v>310.13364122999997</v>
      </c>
      <c r="AT13" s="93">
        <f t="shared" si="13"/>
        <v>310.13364122999997</v>
      </c>
      <c r="AU13" s="281">
        <f t="shared" si="44"/>
        <v>-0.83307351622776693</v>
      </c>
      <c r="AV13" s="282">
        <f t="shared" si="14"/>
        <v>-1.1874368789514311</v>
      </c>
      <c r="AW13" s="145">
        <f t="shared" si="15"/>
        <v>72.69</v>
      </c>
      <c r="AX13" s="92">
        <f t="shared" si="16"/>
        <v>0.84030000000000005</v>
      </c>
      <c r="AY13" s="93">
        <f t="shared" si="17"/>
        <v>7.0000000000000007E-2</v>
      </c>
      <c r="AZ13" s="545">
        <f>'SEP_27&amp;28_03_OLEO'!J7*(1-'3-Dados_Totalizados_27&amp;28_03'!AY13/100)</f>
        <v>311.5947309</v>
      </c>
      <c r="BA13" s="153">
        <f t="shared" si="45"/>
        <v>261.83305237527003</v>
      </c>
      <c r="BB13" s="544">
        <v>861.88</v>
      </c>
      <c r="BC13" s="282">
        <f t="shared" si="18"/>
        <v>225.66867118119774</v>
      </c>
      <c r="BD13" s="545">
        <f t="shared" si="19"/>
        <v>19032.644577158379</v>
      </c>
      <c r="BE13" s="153">
        <f>('SEP_27&amp;28_03_GAS'!H7+'3-Dados_Totalizados_27&amp;28_03'!BD13)/1000</f>
        <v>96.088644577158377</v>
      </c>
      <c r="BF13" s="282">
        <f t="shared" si="20"/>
        <v>83.963218517966766</v>
      </c>
      <c r="BG13" s="559">
        <f>'SEP_27&amp;28_03_OLEO'!J9*(AY13/100)</f>
        <v>0.21940800000000002</v>
      </c>
      <c r="BH13" s="153">
        <f>'SEP_27&amp;28_03_AGUA'!I7+'3-Dados_Totalizados_27&amp;28_03'!BG13</f>
        <v>0.21940800000000002</v>
      </c>
      <c r="BI13" s="436">
        <f t="shared" si="21"/>
        <v>0.21846366796800004</v>
      </c>
      <c r="BJ13" s="548">
        <f t="shared" si="22"/>
        <v>309.6318896991645</v>
      </c>
      <c r="BK13" s="546">
        <f t="shared" si="23"/>
        <v>309.85035336713253</v>
      </c>
      <c r="BL13" s="111"/>
      <c r="BM13" s="176" t="e">
        <f>(AB13-#REF!)/#REF!</f>
        <v>#REF!</v>
      </c>
      <c r="BN13" s="177">
        <f t="shared" si="0"/>
        <v>-8.081179637622922E-2</v>
      </c>
      <c r="BO13" s="177">
        <f t="shared" si="1"/>
        <v>-6.1628865308496858E-2</v>
      </c>
      <c r="BP13" s="176">
        <f t="shared" si="2"/>
        <v>2.3159595664946304E-2</v>
      </c>
      <c r="BQ13" s="177">
        <f t="shared" si="3"/>
        <v>-7.778905207843051E-2</v>
      </c>
      <c r="BR13" s="178">
        <f t="shared" si="4"/>
        <v>-0.24797637278494863</v>
      </c>
      <c r="BS13" s="111"/>
      <c r="BT13" s="111"/>
      <c r="BU13" s="91">
        <f t="shared" si="24"/>
        <v>24.252932711047848</v>
      </c>
      <c r="BV13" s="761">
        <f t="shared" si="25"/>
        <v>-6.0639476247299626</v>
      </c>
      <c r="BW13" s="762">
        <f t="shared" si="26"/>
        <v>-100</v>
      </c>
      <c r="BX13" s="761">
        <f t="shared" si="27"/>
        <v>63.662999999999997</v>
      </c>
      <c r="BY13" s="762" t="e">
        <f t="shared" si="28"/>
        <v>#DIV/0!</v>
      </c>
      <c r="BZ13" s="761">
        <f t="shared" si="29"/>
        <v>-0.20399999999999999</v>
      </c>
      <c r="CA13" s="763">
        <f t="shared" si="30"/>
        <v>-0.83307351622776693</v>
      </c>
      <c r="CB13" s="764">
        <f t="shared" si="31"/>
        <v>2.5836412299999552</v>
      </c>
      <c r="CC13" s="763">
        <f t="shared" si="32"/>
        <v>-1.1874368789514311</v>
      </c>
      <c r="CD13" s="93">
        <f t="shared" si="5"/>
        <v>3.6826412299999447</v>
      </c>
      <c r="CE13" s="169" t="str">
        <f t="shared" si="33"/>
        <v>OK</v>
      </c>
      <c r="CF13" s="170" t="str">
        <f t="shared" si="34"/>
        <v>OK</v>
      </c>
      <c r="CH13" s="95">
        <f t="shared" si="35"/>
        <v>-1.5179999999999723</v>
      </c>
      <c r="CI13" s="76">
        <f t="shared" si="36"/>
        <v>0</v>
      </c>
      <c r="CJ13" s="33">
        <f t="shared" si="37"/>
        <v>7.9999999999999793E-3</v>
      </c>
      <c r="CK13" s="76">
        <f t="shared" si="46"/>
        <v>-1.5179999999999723</v>
      </c>
      <c r="CL13" s="97">
        <f t="shared" si="38"/>
        <v>-1.5099999999999723</v>
      </c>
      <c r="CM13" s="98">
        <f t="shared" si="39"/>
        <v>-0.50082076000003894</v>
      </c>
      <c r="CN13" s="76">
        <f t="shared" si="40"/>
        <v>9.2799999999996885E-2</v>
      </c>
      <c r="CO13" s="76">
        <f t="shared" si="41"/>
        <v>0</v>
      </c>
      <c r="CP13" s="76">
        <f t="shared" si="47"/>
        <v>-0.40802076000004206</v>
      </c>
      <c r="CQ13" s="47">
        <f t="shared" ref="CQ13:CQ33" si="50">IF(OR(CP13="",CO13=""),"",CP13+CO13)</f>
        <v>-0.40802076000004206</v>
      </c>
      <c r="CR13" s="75" t="s">
        <v>12</v>
      </c>
      <c r="CS13" s="96"/>
    </row>
    <row r="14" spans="1:100" s="418" customFormat="1" ht="21.75" customHeight="1" x14ac:dyDescent="0.25">
      <c r="A14" s="180">
        <v>46108.666666435187</v>
      </c>
      <c r="B14" s="180">
        <v>46108.708333506947</v>
      </c>
      <c r="C14" s="90">
        <f t="shared" si="6"/>
        <v>1.0000097222509794</v>
      </c>
      <c r="D14" s="258" cm="1">
        <f t="array" ref="D14">_xll.PITimeDat('3-Dados_Totalizados_27&amp;28_03'!$D$7,'3-Dados_Totalizados_27&amp;28_03'!B14,"","interpolated")</f>
        <v>2140.2168763136119</v>
      </c>
      <c r="E14" s="258" cm="1">
        <f t="array" ref="E14">_xll.PITimeDat($E$7,B14,"","interpolated")</f>
        <v>3.3413645311660217E-2</v>
      </c>
      <c r="F14" s="258" cm="1">
        <f t="array" ref="F14">_xll.PITimeDat($F$7,B14,"","interpolated")</f>
        <v>3.3413936525417312E-2</v>
      </c>
      <c r="G14" s="258" cm="1">
        <f t="array" ref="G14">_xll.PITimeDat($G$7,B14,"","interpolated")</f>
        <v>14.564356273663455</v>
      </c>
      <c r="H14" s="416">
        <v>307.38799999999998</v>
      </c>
      <c r="I14" s="386">
        <v>0</v>
      </c>
      <c r="J14" s="386">
        <v>0.21</v>
      </c>
      <c r="K14" s="386" cm="1">
        <f t="array" ref="K14">_xll.PITimeDat($K$7,B14,"","interpolated")</f>
        <v>0.36136749947322799</v>
      </c>
      <c r="L14" s="386">
        <v>307.38799999999998</v>
      </c>
      <c r="M14" s="388">
        <f t="shared" si="48"/>
        <v>307.59799999999996</v>
      </c>
      <c r="N14" s="381">
        <v>1</v>
      </c>
      <c r="O14" s="235">
        <v>1</v>
      </c>
      <c r="P14" s="235">
        <v>1</v>
      </c>
      <c r="Q14" s="236">
        <v>1</v>
      </c>
      <c r="R14" s="123">
        <f t="shared" si="7"/>
        <v>307.38799999999998</v>
      </c>
      <c r="S14" s="124">
        <f t="shared" si="8"/>
        <v>0</v>
      </c>
      <c r="T14" s="644">
        <f t="shared" si="9"/>
        <v>0.21</v>
      </c>
      <c r="U14" s="647">
        <f t="shared" si="10"/>
        <v>307.38799999999998</v>
      </c>
      <c r="V14" s="388">
        <f t="shared" si="11"/>
        <v>307.59799999999996</v>
      </c>
      <c r="W14" s="237">
        <v>551.85</v>
      </c>
      <c r="X14" s="237">
        <v>82.11</v>
      </c>
      <c r="Y14" s="237">
        <v>622.67999999999995</v>
      </c>
      <c r="Z14" s="237">
        <v>569.6</v>
      </c>
      <c r="AA14" s="238">
        <v>997.05</v>
      </c>
      <c r="AB14" s="234">
        <v>230.251</v>
      </c>
      <c r="AC14" s="239">
        <v>77.137</v>
      </c>
      <c r="AD14" s="240">
        <v>0.21</v>
      </c>
      <c r="AE14" s="242">
        <f t="shared" si="42"/>
        <v>307.38800000000003</v>
      </c>
      <c r="AF14" s="250">
        <f t="shared" si="43"/>
        <v>307.59800000000001</v>
      </c>
      <c r="AG14" s="242">
        <v>267.75599999999997</v>
      </c>
      <c r="AH14" s="243">
        <v>88.566999999999993</v>
      </c>
      <c r="AI14" s="244">
        <v>0.16800000000000001</v>
      </c>
      <c r="AJ14" s="417"/>
      <c r="AK14" s="91">
        <f>'SEP_27&amp;28_03_OLEO'!E8</f>
        <v>62.97</v>
      </c>
      <c r="AL14" s="94">
        <f>'SEP_27&amp;28_03_OLEO'!D8</f>
        <v>84.345049999999986</v>
      </c>
      <c r="AM14" s="91">
        <f>'SEP_27&amp;28_03_OLEO'!I8</f>
        <v>320.488</v>
      </c>
      <c r="AN14" s="167">
        <v>768.13</v>
      </c>
      <c r="AO14" s="93">
        <f t="shared" si="49"/>
        <v>246.17644744</v>
      </c>
      <c r="AP14" s="165">
        <f>'SEP_27&amp;28_03_OLEO'!K8</f>
        <v>268.79700000000003</v>
      </c>
      <c r="AQ14" s="92">
        <f>'SEP_27&amp;28_03_GAS'!I8</f>
        <v>63.629199999999997</v>
      </c>
      <c r="AR14" s="92">
        <f>'SEP_27&amp;28_03_AGUA'!J8</f>
        <v>0</v>
      </c>
      <c r="AS14" s="92">
        <f t="shared" si="12"/>
        <v>309.80564744000003</v>
      </c>
      <c r="AT14" s="93">
        <f t="shared" si="13"/>
        <v>309.80564744000003</v>
      </c>
      <c r="AU14" s="281">
        <f t="shared" si="44"/>
        <v>-0.78037552251796205</v>
      </c>
      <c r="AV14" s="282">
        <f t="shared" si="14"/>
        <v>-0.71259109000832987</v>
      </c>
      <c r="AW14" s="145">
        <f t="shared" si="15"/>
        <v>72.69</v>
      </c>
      <c r="AX14" s="92">
        <f t="shared" si="16"/>
        <v>0.84030000000000005</v>
      </c>
      <c r="AY14" s="93">
        <f t="shared" si="17"/>
        <v>7.0000000000000007E-2</v>
      </c>
      <c r="AZ14" s="545">
        <f>'SEP_27&amp;28_03_OLEO'!J8*(1-'3-Dados_Totalizados_27&amp;28_03'!AY14/100)</f>
        <v>311.21499689999996</v>
      </c>
      <c r="BA14" s="153">
        <f t="shared" si="45"/>
        <v>261.51396189507</v>
      </c>
      <c r="BB14" s="544">
        <v>861.88</v>
      </c>
      <c r="BC14" s="282">
        <f t="shared" si="18"/>
        <v>225.39365347812293</v>
      </c>
      <c r="BD14" s="545">
        <f t="shared" si="19"/>
        <v>19009.449890152639</v>
      </c>
      <c r="BE14" s="153">
        <f>('SEP_27&amp;28_03_GAS'!H8+'3-Dados_Totalizados_27&amp;28_03'!BD14)/1000</f>
        <v>96.024449890152638</v>
      </c>
      <c r="BF14" s="282">
        <f t="shared" si="20"/>
        <v>83.907124558514283</v>
      </c>
      <c r="BG14" s="559">
        <f>'SEP_27&amp;28_03_OLEO'!J10*(AY14/100)</f>
        <v>0.21793660000000004</v>
      </c>
      <c r="BH14" s="153">
        <f>'SEP_27&amp;28_03_AGUA'!I8+'3-Dados_Totalizados_27&amp;28_03'!BG14</f>
        <v>0.21793660000000004</v>
      </c>
      <c r="BI14" s="436">
        <f t="shared" si="21"/>
        <v>0.21699860087360007</v>
      </c>
      <c r="BJ14" s="548">
        <f t="shared" si="22"/>
        <v>309.30077803663721</v>
      </c>
      <c r="BK14" s="546">
        <f t="shared" si="23"/>
        <v>309.51777663751079</v>
      </c>
      <c r="BL14" s="111"/>
      <c r="BM14" s="176" t="e">
        <f>(AB14-#REF!)/#REF!</f>
        <v>#REF!</v>
      </c>
      <c r="BN14" s="177">
        <f t="shared" si="0"/>
        <v>-8.0685932143855124E-2</v>
      </c>
      <c r="BO14" s="177">
        <f t="shared" si="1"/>
        <v>-3.2251824875482504E-2</v>
      </c>
      <c r="BP14" s="176">
        <f t="shared" si="2"/>
        <v>2.3868852200841704E-2</v>
      </c>
      <c r="BQ14" s="177">
        <f t="shared" si="3"/>
        <v>-7.7661990239815071E-2</v>
      </c>
      <c r="BR14" s="178">
        <f t="shared" si="4"/>
        <v>-0.22913361041697455</v>
      </c>
      <c r="BS14" s="111"/>
      <c r="BT14" s="111"/>
      <c r="BU14" s="91">
        <f t="shared" si="24"/>
        <v>24.8649101880142</v>
      </c>
      <c r="BV14" s="761">
        <f t="shared" si="25"/>
        <v>-6.2420381049299749</v>
      </c>
      <c r="BW14" s="762">
        <f t="shared" si="26"/>
        <v>-100</v>
      </c>
      <c r="BX14" s="761">
        <f t="shared" si="27"/>
        <v>63.629199999999997</v>
      </c>
      <c r="BY14" s="762" t="e">
        <f t="shared" si="28"/>
        <v>#DIV/0!</v>
      </c>
      <c r="BZ14" s="761">
        <f t="shared" si="29"/>
        <v>-0.21</v>
      </c>
      <c r="CA14" s="763">
        <f t="shared" si="30"/>
        <v>-0.78037552251796205</v>
      </c>
      <c r="CB14" s="764">
        <f t="shared" si="31"/>
        <v>2.4176474400000529</v>
      </c>
      <c r="CC14" s="763">
        <f t="shared" si="32"/>
        <v>-0.71259109000832987</v>
      </c>
      <c r="CD14" s="93">
        <f t="shared" si="5"/>
        <v>2.2076474400000734</v>
      </c>
      <c r="CE14" s="169" t="str">
        <f t="shared" si="33"/>
        <v>OK</v>
      </c>
      <c r="CF14" s="170" t="str">
        <f t="shared" si="34"/>
        <v>OK</v>
      </c>
      <c r="CH14" s="95">
        <f t="shared" si="35"/>
        <v>1.1409999999999627</v>
      </c>
      <c r="CI14" s="76">
        <f t="shared" si="36"/>
        <v>0</v>
      </c>
      <c r="CJ14" s="33">
        <f t="shared" si="37"/>
        <v>6.0000000000000053E-3</v>
      </c>
      <c r="CK14" s="76">
        <f t="shared" si="46"/>
        <v>1.1409999999999627</v>
      </c>
      <c r="CL14" s="97">
        <f t="shared" si="38"/>
        <v>1.1469999999999627</v>
      </c>
      <c r="CM14" s="98">
        <f t="shared" si="39"/>
        <v>-0.29419378999998003</v>
      </c>
      <c r="CN14" s="76">
        <f t="shared" si="40"/>
        <v>-3.3799999999999386E-2</v>
      </c>
      <c r="CO14" s="76">
        <f t="shared" si="41"/>
        <v>0</v>
      </c>
      <c r="CP14" s="76">
        <f t="shared" si="47"/>
        <v>-0.32799378999997941</v>
      </c>
      <c r="CQ14" s="47">
        <f t="shared" si="50"/>
        <v>-0.32799378999997941</v>
      </c>
      <c r="CR14" s="75" t="s">
        <v>12</v>
      </c>
      <c r="CS14" s="96"/>
    </row>
    <row r="15" spans="1:100" s="418" customFormat="1" ht="21.75" customHeight="1" x14ac:dyDescent="0.25">
      <c r="A15" s="180">
        <v>46108.708333043978</v>
      </c>
      <c r="B15" s="180">
        <v>46108.750000231485</v>
      </c>
      <c r="C15" s="90">
        <f t="shared" si="6"/>
        <v>1.0000125001533888</v>
      </c>
      <c r="D15" s="258" cm="1">
        <f t="array" ref="D15">_xll.PITimeDat('3-Dados_Totalizados_27&amp;28_03'!$D$7,'3-Dados_Totalizados_27&amp;28_03'!B15,"","interpolated")</f>
        <v>2141.8925432516016</v>
      </c>
      <c r="E15" s="258" cm="1">
        <f t="array" ref="E15">_xll.PITimeDat($E$7,B15,"","interpolated")</f>
        <v>3.4466846192265317E-2</v>
      </c>
      <c r="F15" s="258" cm="1">
        <f t="array" ref="F15">_xll.PITimeDat($F$7,B15,"","interpolated")</f>
        <v>3.4466849917555616E-2</v>
      </c>
      <c r="G15" s="258" cm="1">
        <f t="array" ref="G15">_xll.PITimeDat($G$7,B15,"","interpolated")</f>
        <v>14.57062793703137</v>
      </c>
      <c r="H15" s="416">
        <v>307.34100000000001</v>
      </c>
      <c r="I15" s="386">
        <v>0</v>
      </c>
      <c r="J15" s="386">
        <v>0.20399999999999999</v>
      </c>
      <c r="K15" s="386" cm="1">
        <f t="array" ref="K15">_xll.PITimeDat($K$7,B15,"","interpolated")</f>
        <v>0.36123384346664816</v>
      </c>
      <c r="L15" s="386">
        <v>307.34100000000001</v>
      </c>
      <c r="M15" s="388">
        <f t="shared" si="48"/>
        <v>307.54500000000002</v>
      </c>
      <c r="N15" s="381">
        <v>1</v>
      </c>
      <c r="O15" s="235">
        <v>1</v>
      </c>
      <c r="P15" s="235">
        <v>1</v>
      </c>
      <c r="Q15" s="236">
        <v>1</v>
      </c>
      <c r="R15" s="123">
        <f t="shared" si="7"/>
        <v>307.34100000000001</v>
      </c>
      <c r="S15" s="124">
        <f t="shared" si="8"/>
        <v>0</v>
      </c>
      <c r="T15" s="644">
        <f t="shared" si="9"/>
        <v>0.20399999999999999</v>
      </c>
      <c r="U15" s="647">
        <f t="shared" si="10"/>
        <v>307.34100000000001</v>
      </c>
      <c r="V15" s="388">
        <f t="shared" si="11"/>
        <v>307.54500000000002</v>
      </c>
      <c r="W15" s="237">
        <v>551.73</v>
      </c>
      <c r="X15" s="237">
        <v>82.12</v>
      </c>
      <c r="Y15" s="237">
        <v>622.65</v>
      </c>
      <c r="Z15" s="237">
        <v>569.59</v>
      </c>
      <c r="AA15" s="238">
        <v>997.05</v>
      </c>
      <c r="AB15" s="234">
        <v>230.21600000000001</v>
      </c>
      <c r="AC15" s="239">
        <v>77.125</v>
      </c>
      <c r="AD15" s="240">
        <v>0.20399999999999999</v>
      </c>
      <c r="AE15" s="242">
        <f t="shared" si="42"/>
        <v>307.34100000000001</v>
      </c>
      <c r="AF15" s="250">
        <f t="shared" si="43"/>
        <v>307.54500000000002</v>
      </c>
      <c r="AG15" s="242">
        <v>267.71499999999997</v>
      </c>
      <c r="AH15" s="243">
        <v>88.552999999999997</v>
      </c>
      <c r="AI15" s="244">
        <v>0.16400000000000001</v>
      </c>
      <c r="AJ15" s="417"/>
      <c r="AK15" s="91">
        <f>'SEP_27&amp;28_03_OLEO'!E9</f>
        <v>62.94</v>
      </c>
      <c r="AL15" s="94">
        <f>'SEP_27&amp;28_03_OLEO'!D9</f>
        <v>84.33914</v>
      </c>
      <c r="AM15" s="91">
        <f>'SEP_27&amp;28_03_OLEO'!I9</f>
        <v>322.54500000000002</v>
      </c>
      <c r="AN15" s="167">
        <v>768.13</v>
      </c>
      <c r="AO15" s="93">
        <f t="shared" si="49"/>
        <v>247.75649085000001</v>
      </c>
      <c r="AP15" s="165">
        <f>'SEP_27&amp;28_03_OLEO'!K9</f>
        <v>270.53100000000001</v>
      </c>
      <c r="AQ15" s="92">
        <f>'SEP_27&amp;28_03_GAS'!I9</f>
        <v>63.4086</v>
      </c>
      <c r="AR15" s="92">
        <f>'SEP_27&amp;28_03_AGUA'!J9</f>
        <v>0</v>
      </c>
      <c r="AS15" s="92">
        <f t="shared" si="12"/>
        <v>311.16509085000001</v>
      </c>
      <c r="AT15" s="93">
        <f t="shared" si="13"/>
        <v>311.16509085000001</v>
      </c>
      <c r="AU15" s="281">
        <f t="shared" si="44"/>
        <v>-1.2289588268252882</v>
      </c>
      <c r="AV15" s="282">
        <f t="shared" si="14"/>
        <v>-1.1633987733363993</v>
      </c>
      <c r="AW15" s="145">
        <f t="shared" si="15"/>
        <v>72.69</v>
      </c>
      <c r="AX15" s="92">
        <f t="shared" si="16"/>
        <v>0.84030000000000005</v>
      </c>
      <c r="AY15" s="93">
        <f t="shared" si="17"/>
        <v>0.22</v>
      </c>
      <c r="AZ15" s="545">
        <f>'SEP_27&amp;28_03_OLEO'!J9*(1-'3-Dados_Totalizados_27&amp;28_03'!AY15/100)</f>
        <v>312.75043199999999</v>
      </c>
      <c r="BA15" s="153">
        <f t="shared" si="45"/>
        <v>262.80418800960001</v>
      </c>
      <c r="BB15" s="544">
        <v>861.88</v>
      </c>
      <c r="BC15" s="282">
        <f t="shared" si="18"/>
        <v>226.50567356171408</v>
      </c>
      <c r="BD15" s="545">
        <f t="shared" si="19"/>
        <v>19103.236426417825</v>
      </c>
      <c r="BE15" s="153">
        <f>('SEP_27&amp;28_03_GAS'!H9+'3-Dados_Totalizados_27&amp;28_03'!BD15)/1000</f>
        <v>95.851236426417827</v>
      </c>
      <c r="BF15" s="282">
        <f t="shared" si="20"/>
        <v>83.755768901768164</v>
      </c>
      <c r="BG15" s="559">
        <f>'SEP_27&amp;28_03_OLEO'!J11*(AY15/100)</f>
        <v>0.68841079999999999</v>
      </c>
      <c r="BH15" s="153">
        <f>'SEP_27&amp;28_03_AGUA'!I9+'3-Dados_Totalizados_27&amp;28_03'!BG15</f>
        <v>0.68841079999999999</v>
      </c>
      <c r="BI15" s="436">
        <f t="shared" si="21"/>
        <v>0.68544787991680001</v>
      </c>
      <c r="BJ15" s="548">
        <f t="shared" si="22"/>
        <v>310.26144246348224</v>
      </c>
      <c r="BK15" s="546">
        <f t="shared" si="23"/>
        <v>310.94689034339905</v>
      </c>
      <c r="BL15" s="111"/>
      <c r="BM15" s="176" t="e">
        <f>(AB15-#REF!)/#REF!</f>
        <v>#REF!</v>
      </c>
      <c r="BN15" s="177">
        <f t="shared" si="0"/>
        <v>-7.9167906744966696E-2</v>
      </c>
      <c r="BO15" s="177">
        <f t="shared" si="1"/>
        <v>-0.70238437381298546</v>
      </c>
      <c r="BP15" s="176">
        <f t="shared" si="2"/>
        <v>1.8686201417081588E-2</v>
      </c>
      <c r="BQ15" s="177">
        <f t="shared" si="3"/>
        <v>-7.6141286210955367E-2</v>
      </c>
      <c r="BR15" s="178">
        <f t="shared" si="4"/>
        <v>-0.7617701523567032</v>
      </c>
      <c r="BS15" s="111"/>
      <c r="BT15" s="111"/>
      <c r="BU15" s="91">
        <f t="shared" si="24"/>
        <v>24.049625882889348</v>
      </c>
      <c r="BV15" s="761">
        <f t="shared" si="25"/>
        <v>-4.9108119903999636</v>
      </c>
      <c r="BW15" s="762">
        <f t="shared" si="26"/>
        <v>-100</v>
      </c>
      <c r="BX15" s="761">
        <f t="shared" si="27"/>
        <v>63.4086</v>
      </c>
      <c r="BY15" s="762" t="e">
        <f t="shared" si="28"/>
        <v>#DIV/0!</v>
      </c>
      <c r="BZ15" s="761">
        <f t="shared" si="29"/>
        <v>-0.20399999999999999</v>
      </c>
      <c r="CA15" s="763">
        <f t="shared" si="30"/>
        <v>-1.2289588268252882</v>
      </c>
      <c r="CB15" s="764">
        <f t="shared" si="31"/>
        <v>3.8240908500000046</v>
      </c>
      <c r="CC15" s="763">
        <f t="shared" si="32"/>
        <v>-1.1633987733363993</v>
      </c>
      <c r="CD15" s="93">
        <f t="shared" si="5"/>
        <v>3.6200908499999969</v>
      </c>
      <c r="CE15" s="169" t="str">
        <f t="shared" si="33"/>
        <v>OK</v>
      </c>
      <c r="CF15" s="170" t="str">
        <f t="shared" si="34"/>
        <v>OK</v>
      </c>
      <c r="CH15" s="95">
        <f t="shared" si="35"/>
        <v>-4.6999999999968622E-2</v>
      </c>
      <c r="CI15" s="76">
        <f t="shared" si="36"/>
        <v>0</v>
      </c>
      <c r="CJ15" s="33">
        <f t="shared" si="37"/>
        <v>-6.0000000000000053E-3</v>
      </c>
      <c r="CK15" s="76">
        <f t="shared" si="46"/>
        <v>-4.6999999999968622E-2</v>
      </c>
      <c r="CL15" s="97">
        <f t="shared" si="38"/>
        <v>-5.2999999999968628E-2</v>
      </c>
      <c r="CM15" s="98">
        <f t="shared" si="39"/>
        <v>1.5800434100000018</v>
      </c>
      <c r="CN15" s="76">
        <f t="shared" si="40"/>
        <v>-0.22059999999999746</v>
      </c>
      <c r="CO15" s="76">
        <f t="shared" si="41"/>
        <v>0</v>
      </c>
      <c r="CP15" s="76">
        <f t="shared" si="47"/>
        <v>1.3594434100000043</v>
      </c>
      <c r="CQ15" s="47">
        <f t="shared" si="50"/>
        <v>1.3594434100000043</v>
      </c>
      <c r="CR15" s="75" t="s">
        <v>12</v>
      </c>
      <c r="CS15" s="96"/>
    </row>
    <row r="16" spans="1:100" s="418" customFormat="1" ht="21.75" customHeight="1" x14ac:dyDescent="0.25">
      <c r="A16" s="180">
        <v>46108.749999652777</v>
      </c>
      <c r="B16" s="180">
        <v>46108.791666956022</v>
      </c>
      <c r="C16" s="90">
        <f t="shared" si="6"/>
        <v>1.0000152778811753</v>
      </c>
      <c r="D16" s="258" cm="1">
        <f t="array" ref="D16">_xll.PITimeDat('3-Dados_Totalizados_27&amp;28_03'!$D$7,'3-Dados_Totalizados_27&amp;28_03'!B16,"","interpolated")</f>
        <v>2143.2205730756123</v>
      </c>
      <c r="E16" s="258" cm="1">
        <f t="array" ref="E16">_xll.PITimeDat($E$7,B16,"","interpolated")</f>
        <v>3.9691147843889968E-2</v>
      </c>
      <c r="F16" s="258" cm="1">
        <f t="array" ref="F16">_xll.PITimeDat($F$7,B16,"","interpolated")</f>
        <v>3.9691127031437644E-2</v>
      </c>
      <c r="G16" s="258" cm="1">
        <f t="array" ref="G16">_xll.PITimeDat($G$7,B16,"","interpolated")</f>
        <v>14.575437864963897</v>
      </c>
      <c r="H16" s="416">
        <v>307.49</v>
      </c>
      <c r="I16" s="386">
        <v>0</v>
      </c>
      <c r="J16" s="386">
        <v>0.216</v>
      </c>
      <c r="K16" s="386" cm="1">
        <f t="array" ref="K16">_xll.PITimeDat($K$7,B16,"","interpolated")</f>
        <v>0.36129307995500903</v>
      </c>
      <c r="L16" s="386">
        <v>307.49</v>
      </c>
      <c r="M16" s="388">
        <f t="shared" si="48"/>
        <v>307.70600000000002</v>
      </c>
      <c r="N16" s="381">
        <v>1</v>
      </c>
      <c r="O16" s="235">
        <v>1</v>
      </c>
      <c r="P16" s="235">
        <v>1</v>
      </c>
      <c r="Q16" s="236">
        <v>1</v>
      </c>
      <c r="R16" s="123">
        <f t="shared" si="7"/>
        <v>307.49</v>
      </c>
      <c r="S16" s="124">
        <f t="shared" si="8"/>
        <v>0</v>
      </c>
      <c r="T16" s="644">
        <f t="shared" si="9"/>
        <v>0.216</v>
      </c>
      <c r="U16" s="647">
        <f t="shared" si="10"/>
        <v>307.49</v>
      </c>
      <c r="V16" s="388">
        <f t="shared" si="11"/>
        <v>307.70600000000002</v>
      </c>
      <c r="W16" s="237">
        <v>551.49</v>
      </c>
      <c r="X16" s="237">
        <v>82.14</v>
      </c>
      <c r="Y16" s="237">
        <v>622.61</v>
      </c>
      <c r="Z16" s="237">
        <v>569.57000000000005</v>
      </c>
      <c r="AA16" s="238">
        <v>997.05</v>
      </c>
      <c r="AB16" s="234">
        <v>230.328</v>
      </c>
      <c r="AC16" s="239">
        <v>77.162999999999997</v>
      </c>
      <c r="AD16" s="240">
        <v>0.216</v>
      </c>
      <c r="AE16" s="242">
        <f t="shared" si="42"/>
        <v>307.49099999999999</v>
      </c>
      <c r="AF16" s="250">
        <f t="shared" si="43"/>
        <v>307.70699999999999</v>
      </c>
      <c r="AG16" s="242">
        <v>267.84500000000003</v>
      </c>
      <c r="AH16" s="243">
        <v>88.596000000000004</v>
      </c>
      <c r="AI16" s="244">
        <v>0.17399999999999999</v>
      </c>
      <c r="AJ16" s="417"/>
      <c r="AK16" s="91">
        <f>'SEP_27&amp;28_03_OLEO'!E10</f>
        <v>62.93</v>
      </c>
      <c r="AL16" s="94">
        <f>'SEP_27&amp;28_03_OLEO'!D10</f>
        <v>84.349469999999997</v>
      </c>
      <c r="AM16" s="91">
        <f>'SEP_27&amp;28_03_OLEO'!I10</f>
        <v>320.37900000000002</v>
      </c>
      <c r="AN16" s="167">
        <v>768.13</v>
      </c>
      <c r="AO16" s="93">
        <f t="shared" si="49"/>
        <v>246.09272127</v>
      </c>
      <c r="AP16" s="165">
        <f>'SEP_27&amp;28_03_OLEO'!K10</f>
        <v>268.71600000000001</v>
      </c>
      <c r="AQ16" s="92">
        <f>'SEP_27&amp;28_03_GAS'!I10</f>
        <v>63.559600000000003</v>
      </c>
      <c r="AR16" s="92">
        <f>'SEP_27&amp;28_03_AGUA'!J10</f>
        <v>0</v>
      </c>
      <c r="AS16" s="92">
        <f t="shared" si="12"/>
        <v>309.65232127000002</v>
      </c>
      <c r="AT16" s="93">
        <f t="shared" si="13"/>
        <v>309.65232127000002</v>
      </c>
      <c r="AU16" s="281">
        <f t="shared" si="44"/>
        <v>-0.69830617162226494</v>
      </c>
      <c r="AV16" s="282">
        <f t="shared" si="14"/>
        <v>-0.62855051821262276</v>
      </c>
      <c r="AW16" s="145">
        <f t="shared" si="15"/>
        <v>72.69</v>
      </c>
      <c r="AX16" s="92">
        <f t="shared" si="16"/>
        <v>0.84030000000000005</v>
      </c>
      <c r="AY16" s="93">
        <f t="shared" si="17"/>
        <v>0.22</v>
      </c>
      <c r="AZ16" s="545">
        <f>'SEP_27&amp;28_03_OLEO'!J10*(1-'3-Dados_Totalizados_27&amp;28_03'!AY16/100)</f>
        <v>310.65305640000003</v>
      </c>
      <c r="BA16" s="153">
        <f t="shared" si="45"/>
        <v>261.04176329292005</v>
      </c>
      <c r="BB16" s="544">
        <v>861.88</v>
      </c>
      <c r="BC16" s="282">
        <f t="shared" si="18"/>
        <v>224.98667494690193</v>
      </c>
      <c r="BD16" s="545">
        <f t="shared" si="19"/>
        <v>18975.125773762356</v>
      </c>
      <c r="BE16" s="153">
        <f>('SEP_27&amp;28_03_GAS'!H10+'3-Dados_Totalizados_27&amp;28_03'!BD16)/1000</f>
        <v>95.905825773762345</v>
      </c>
      <c r="BF16" s="282">
        <f t="shared" si="20"/>
        <v>83.803469619371285</v>
      </c>
      <c r="BG16" s="559">
        <f>'SEP_27&amp;28_03_OLEO'!J12*(AY16/100)</f>
        <v>0.68469060000000004</v>
      </c>
      <c r="BH16" s="153">
        <f>'SEP_27&amp;28_03_AGUA'!I10+'3-Dados_Totalizados_27&amp;28_03'!BG16</f>
        <v>0.68469060000000004</v>
      </c>
      <c r="BI16" s="436">
        <f t="shared" si="21"/>
        <v>0.68174369165760007</v>
      </c>
      <c r="BJ16" s="548">
        <f t="shared" si="22"/>
        <v>308.79014456627323</v>
      </c>
      <c r="BK16" s="546">
        <f t="shared" si="23"/>
        <v>309.4718882579308</v>
      </c>
      <c r="BL16" s="111"/>
      <c r="BM16" s="176" t="e">
        <f>(AB16-#REF!)/#REF!</f>
        <v>#REF!</v>
      </c>
      <c r="BN16" s="177">
        <f t="shared" si="0"/>
        <v>-7.9238600138297074E-2</v>
      </c>
      <c r="BO16" s="177">
        <f t="shared" si="1"/>
        <v>-0.68316538511003322</v>
      </c>
      <c r="BP16" s="176">
        <f t="shared" si="2"/>
        <v>2.6061870795156754E-2</v>
      </c>
      <c r="BQ16" s="177">
        <f t="shared" si="3"/>
        <v>-7.6218787699152926E-2</v>
      </c>
      <c r="BR16" s="178">
        <f t="shared" si="4"/>
        <v>-0.7458706165967518</v>
      </c>
      <c r="BS16" s="111"/>
      <c r="BT16" s="111"/>
      <c r="BU16" s="91">
        <f t="shared" si="24"/>
        <v>24.948839775979458</v>
      </c>
      <c r="BV16" s="761">
        <f t="shared" si="25"/>
        <v>-6.8032367070799751</v>
      </c>
      <c r="BW16" s="762">
        <f t="shared" si="26"/>
        <v>-100</v>
      </c>
      <c r="BX16" s="761">
        <f t="shared" si="27"/>
        <v>63.559600000000003</v>
      </c>
      <c r="BY16" s="762" t="e">
        <f t="shared" si="28"/>
        <v>#DIV/0!</v>
      </c>
      <c r="BZ16" s="761">
        <f t="shared" si="29"/>
        <v>-0.216</v>
      </c>
      <c r="CA16" s="763">
        <f t="shared" si="30"/>
        <v>-0.69830617162226494</v>
      </c>
      <c r="CB16" s="764">
        <f t="shared" si="31"/>
        <v>2.1623212700000067</v>
      </c>
      <c r="CC16" s="763">
        <f t="shared" si="32"/>
        <v>-0.62855051821262276</v>
      </c>
      <c r="CD16" s="93">
        <f t="shared" si="5"/>
        <v>1.9463212699999985</v>
      </c>
      <c r="CE16" s="169" t="str">
        <f t="shared" si="33"/>
        <v>OK</v>
      </c>
      <c r="CF16" s="170" t="str">
        <f t="shared" si="34"/>
        <v>OK</v>
      </c>
      <c r="CH16" s="95">
        <f t="shared" si="35"/>
        <v>0.14900000000000091</v>
      </c>
      <c r="CI16" s="76">
        <f t="shared" si="36"/>
        <v>0</v>
      </c>
      <c r="CJ16" s="33">
        <f t="shared" si="37"/>
        <v>1.2000000000000011E-2</v>
      </c>
      <c r="CK16" s="76">
        <f t="shared" si="46"/>
        <v>0.14900000000000091</v>
      </c>
      <c r="CL16" s="97">
        <f t="shared" si="38"/>
        <v>0.16100000000000092</v>
      </c>
      <c r="CM16" s="98">
        <f t="shared" si="39"/>
        <v>-1.6637695800000074</v>
      </c>
      <c r="CN16" s="76">
        <f t="shared" si="40"/>
        <v>0.15100000000000335</v>
      </c>
      <c r="CO16" s="76">
        <f t="shared" si="41"/>
        <v>0</v>
      </c>
      <c r="CP16" s="76">
        <f t="shared" si="47"/>
        <v>-1.5127695800000041</v>
      </c>
      <c r="CQ16" s="47">
        <f t="shared" si="50"/>
        <v>-1.5127695800000041</v>
      </c>
      <c r="CR16" s="75" t="s">
        <v>12</v>
      </c>
      <c r="CS16" s="96"/>
    </row>
    <row r="17" spans="1:97" s="418" customFormat="1" ht="21.75" customHeight="1" x14ac:dyDescent="0.25">
      <c r="A17" s="180">
        <v>46108.791666261575</v>
      </c>
      <c r="B17" s="180">
        <v>46108.833333680559</v>
      </c>
      <c r="C17" s="90">
        <f t="shared" si="6"/>
        <v>1.0000180556089617</v>
      </c>
      <c r="D17" s="258" cm="1">
        <f t="array" ref="D17">_xll.PITimeDat('3-Dados_Totalizados_27&amp;28_03'!$D$7,'3-Dados_Totalizados_27&amp;28_03'!B17,"","interpolated")</f>
        <v>2142.5997576099935</v>
      </c>
      <c r="E17" s="258" cm="1">
        <f t="array" ref="E17">_xll.PITimeDat($E$7,B17,"","interpolated")</f>
        <v>3.7699761347923591E-2</v>
      </c>
      <c r="F17" s="258" cm="1">
        <f t="array" ref="F17">_xll.PITimeDat($F$7,B17,"","interpolated")</f>
        <v>3.7699731529719595E-2</v>
      </c>
      <c r="G17" s="258" cm="1">
        <f t="array" ref="G17">_xll.PITimeDat($G$7,B17,"","interpolated")</f>
        <v>14.573285146391365</v>
      </c>
      <c r="H17" s="416">
        <v>307.303</v>
      </c>
      <c r="I17" s="386">
        <v>0</v>
      </c>
      <c r="J17" s="386">
        <v>0.20399999999999999</v>
      </c>
      <c r="K17" s="386" cm="1">
        <f t="array" ref="K17">_xll.PITimeDat($K$7,B17,"","interpolated")</f>
        <v>0.21602008483107527</v>
      </c>
      <c r="L17" s="386">
        <v>307.303</v>
      </c>
      <c r="M17" s="388">
        <f t="shared" si="48"/>
        <v>307.50700000000001</v>
      </c>
      <c r="N17" s="381">
        <v>1</v>
      </c>
      <c r="O17" s="235">
        <v>1</v>
      </c>
      <c r="P17" s="235">
        <v>1</v>
      </c>
      <c r="Q17" s="236">
        <v>1</v>
      </c>
      <c r="R17" s="123">
        <f t="shared" si="7"/>
        <v>307.303</v>
      </c>
      <c r="S17" s="124">
        <f t="shared" si="8"/>
        <v>0</v>
      </c>
      <c r="T17" s="644">
        <f t="shared" si="9"/>
        <v>0.20399999999999999</v>
      </c>
      <c r="U17" s="647">
        <f t="shared" si="10"/>
        <v>307.303</v>
      </c>
      <c r="V17" s="388">
        <f t="shared" si="11"/>
        <v>307.50700000000001</v>
      </c>
      <c r="W17" s="237">
        <v>551.5</v>
      </c>
      <c r="X17" s="237">
        <v>82.15</v>
      </c>
      <c r="Y17" s="237">
        <v>622.61</v>
      </c>
      <c r="Z17" s="237">
        <v>569.57000000000005</v>
      </c>
      <c r="AA17" s="238">
        <v>997.05</v>
      </c>
      <c r="AB17" s="234">
        <v>230.18799999999999</v>
      </c>
      <c r="AC17" s="239">
        <v>77.116</v>
      </c>
      <c r="AD17" s="240">
        <v>0.20399999999999999</v>
      </c>
      <c r="AE17" s="242">
        <f t="shared" si="42"/>
        <v>307.30399999999997</v>
      </c>
      <c r="AF17" s="250">
        <f t="shared" si="43"/>
        <v>307.50799999999998</v>
      </c>
      <c r="AG17" s="242">
        <v>267.68200000000002</v>
      </c>
      <c r="AH17" s="243">
        <v>88.543000000000006</v>
      </c>
      <c r="AI17" s="244">
        <v>0.16400000000000001</v>
      </c>
      <c r="AJ17" s="417"/>
      <c r="AK17" s="91">
        <f>'SEP_27&amp;28_03_OLEO'!E11</f>
        <v>62.93</v>
      </c>
      <c r="AL17" s="94">
        <f>'SEP_27&amp;28_03_OLEO'!D11</f>
        <v>84.345799999999997</v>
      </c>
      <c r="AM17" s="91">
        <f>'SEP_27&amp;28_03_OLEO'!I11</f>
        <v>322</v>
      </c>
      <c r="AN17" s="167">
        <v>768.13</v>
      </c>
      <c r="AO17" s="93">
        <f t="shared" si="49"/>
        <v>247.33786000000001</v>
      </c>
      <c r="AP17" s="165">
        <f>'SEP_27&amp;28_03_OLEO'!K11</f>
        <v>270.07499999999999</v>
      </c>
      <c r="AQ17" s="92">
        <f>'SEP_27&amp;28_03_GAS'!I11</f>
        <v>63.495100000000001</v>
      </c>
      <c r="AR17" s="92">
        <f>'SEP_27&amp;28_03_AGUA'!J11</f>
        <v>1.607</v>
      </c>
      <c r="AS17" s="92">
        <f t="shared" si="12"/>
        <v>310.83296000000001</v>
      </c>
      <c r="AT17" s="93">
        <f t="shared" si="13"/>
        <v>312.43996000000004</v>
      </c>
      <c r="AU17" s="281">
        <f t="shared" si="44"/>
        <v>-1.1356453318206672</v>
      </c>
      <c r="AV17" s="282">
        <f t="shared" si="14"/>
        <v>-1.5788505413968257</v>
      </c>
      <c r="AW17" s="145">
        <f t="shared" si="15"/>
        <v>72.69</v>
      </c>
      <c r="AX17" s="92">
        <f t="shared" si="16"/>
        <v>0.84030000000000005</v>
      </c>
      <c r="AY17" s="93">
        <f t="shared" si="17"/>
        <v>0.22</v>
      </c>
      <c r="AZ17" s="545">
        <f>'SEP_27&amp;28_03_OLEO'!J11*(1-'3-Dados_Totalizados_27&amp;28_03'!AY17/100)</f>
        <v>312.2255892</v>
      </c>
      <c r="BA17" s="153">
        <f t="shared" si="45"/>
        <v>262.36316260476002</v>
      </c>
      <c r="BB17" s="544">
        <v>861.88</v>
      </c>
      <c r="BC17" s="282">
        <f t="shared" si="18"/>
        <v>226.12556258579056</v>
      </c>
      <c r="BD17" s="545">
        <f t="shared" si="19"/>
        <v>19071.178289740004</v>
      </c>
      <c r="BE17" s="153">
        <f>('SEP_27&amp;28_03_GAS'!H11+'3-Dados_Totalizados_27&amp;28_03'!BD17)/1000</f>
        <v>95.923878289740003</v>
      </c>
      <c r="BF17" s="282">
        <f t="shared" si="20"/>
        <v>83.819244088357721</v>
      </c>
      <c r="BG17" s="559">
        <f>'SEP_27&amp;28_03_OLEO'!J13*(AY17/100)</f>
        <v>0.68408340000000001</v>
      </c>
      <c r="BH17" s="153">
        <f>'SEP_27&amp;28_03_AGUA'!I11+'3-Dados_Totalizados_27&amp;28_03'!BG17</f>
        <v>2.2940833999999999</v>
      </c>
      <c r="BI17" s="436">
        <f t="shared" si="21"/>
        <v>2.2842096650463999</v>
      </c>
      <c r="BJ17" s="548">
        <f t="shared" si="22"/>
        <v>309.94480667414825</v>
      </c>
      <c r="BK17" s="546">
        <f t="shared" si="23"/>
        <v>312.22901633919463</v>
      </c>
      <c r="BL17" s="111"/>
      <c r="BM17" s="176" t="e">
        <f>(AB17-#REF!)/#REF!</f>
        <v>#REF!</v>
      </c>
      <c r="BN17" s="177">
        <f t="shared" si="0"/>
        <v>-7.9972614418850202E-2</v>
      </c>
      <c r="BO17" s="177">
        <f t="shared" si="1"/>
        <v>-0.91069121056544677</v>
      </c>
      <c r="BP17" s="176">
        <f t="shared" si="2"/>
        <v>2.0272805612015811E-2</v>
      </c>
      <c r="BQ17" s="177">
        <f t="shared" si="3"/>
        <v>-7.6945161323084807E-2</v>
      </c>
      <c r="BR17" s="178">
        <f t="shared" si="4"/>
        <v>-0.92851175332160973</v>
      </c>
      <c r="BS17" s="111"/>
      <c r="BT17" s="111"/>
      <c r="BU17" s="91">
        <f t="shared" si="24"/>
        <v>24.244222053186682</v>
      </c>
      <c r="BV17" s="761">
        <f t="shared" si="25"/>
        <v>-5.3188373952399957</v>
      </c>
      <c r="BW17" s="762">
        <f t="shared" si="26"/>
        <v>-100</v>
      </c>
      <c r="BX17" s="761">
        <f t="shared" si="27"/>
        <v>63.495100000000001</v>
      </c>
      <c r="BY17" s="762">
        <f t="shared" si="28"/>
        <v>-87.305538270068453</v>
      </c>
      <c r="BZ17" s="761">
        <f t="shared" si="29"/>
        <v>1.403</v>
      </c>
      <c r="CA17" s="763">
        <f t="shared" si="30"/>
        <v>-1.1356453318206672</v>
      </c>
      <c r="CB17" s="764">
        <f t="shared" si="31"/>
        <v>3.5299600000000169</v>
      </c>
      <c r="CC17" s="763">
        <f t="shared" si="32"/>
        <v>-1.5788505413968257</v>
      </c>
      <c r="CD17" s="93">
        <f t="shared" si="5"/>
        <v>4.9329600000000369</v>
      </c>
      <c r="CE17" s="169" t="str">
        <f t="shared" si="33"/>
        <v>OK</v>
      </c>
      <c r="CF17" s="170" t="str">
        <f t="shared" si="34"/>
        <v>OK</v>
      </c>
      <c r="CH17" s="95">
        <f t="shared" si="35"/>
        <v>-0.18700000000001182</v>
      </c>
      <c r="CI17" s="76">
        <f t="shared" si="36"/>
        <v>0</v>
      </c>
      <c r="CJ17" s="33">
        <f t="shared" si="37"/>
        <v>-1.2000000000000011E-2</v>
      </c>
      <c r="CK17" s="76">
        <f t="shared" si="46"/>
        <v>-0.18700000000001182</v>
      </c>
      <c r="CL17" s="97">
        <f t="shared" si="38"/>
        <v>-0.19900000000001183</v>
      </c>
      <c r="CM17" s="98">
        <f t="shared" si="39"/>
        <v>1.2451387300000079</v>
      </c>
      <c r="CN17" s="76">
        <f t="shared" si="40"/>
        <v>-6.4500000000002444E-2</v>
      </c>
      <c r="CO17" s="76">
        <f t="shared" si="41"/>
        <v>1.607</v>
      </c>
      <c r="CP17" s="76">
        <f t="shared" si="47"/>
        <v>1.1806387300000054</v>
      </c>
      <c r="CQ17" s="47">
        <f t="shared" si="50"/>
        <v>2.7876387300000056</v>
      </c>
      <c r="CR17" s="75" t="s">
        <v>12</v>
      </c>
      <c r="CS17" s="96"/>
    </row>
    <row r="18" spans="1:97" s="418" customFormat="1" ht="21.75" customHeight="1" x14ac:dyDescent="0.25">
      <c r="A18" s="180">
        <v>46108.833332870374</v>
      </c>
      <c r="B18" s="180">
        <v>46108.875000405096</v>
      </c>
      <c r="C18" s="90">
        <f t="shared" si="6"/>
        <v>1.0000208333367482</v>
      </c>
      <c r="D18" s="258" cm="1">
        <f t="array" ref="D18">_xll.PITimeDat('3-Dados_Totalizados_27&amp;28_03'!$D$7,'3-Dados_Totalizados_27&amp;28_03'!B18,"","interpolated")</f>
        <v>2143.5909353487873</v>
      </c>
      <c r="E18" s="258" cm="1">
        <f t="array" ref="E18">_xll.PITimeDat($E$7,B18,"","interpolated")</f>
        <v>3.1039727074997678E-2</v>
      </c>
      <c r="F18" s="258" cm="1">
        <f t="array" ref="F18">_xll.PITimeDat($F$7,B18,"","interpolated")</f>
        <v>3.1039752519816728E-2</v>
      </c>
      <c r="G18" s="258" cm="1">
        <f t="array" ref="G18">_xll.PITimeDat($G$7,B18,"","interpolated")</f>
        <v>14.577565331153345</v>
      </c>
      <c r="H18" s="416">
        <v>307.33999999999997</v>
      </c>
      <c r="I18" s="386">
        <v>0</v>
      </c>
      <c r="J18" s="386">
        <v>0.23400000000000001</v>
      </c>
      <c r="K18" s="386" cm="1">
        <f t="array" ref="K18">_xll.PITimeDat($K$7,B18,"","interpolated")</f>
        <v>0.28572885359508232</v>
      </c>
      <c r="L18" s="386">
        <v>307.33999999999997</v>
      </c>
      <c r="M18" s="388">
        <f t="shared" si="48"/>
        <v>307.57399999999996</v>
      </c>
      <c r="N18" s="381">
        <v>1</v>
      </c>
      <c r="O18" s="235">
        <v>1</v>
      </c>
      <c r="P18" s="235">
        <v>1</v>
      </c>
      <c r="Q18" s="236">
        <v>1</v>
      </c>
      <c r="R18" s="123">
        <f t="shared" si="7"/>
        <v>307.33999999999997</v>
      </c>
      <c r="S18" s="124">
        <f t="shared" si="8"/>
        <v>0</v>
      </c>
      <c r="T18" s="644">
        <f t="shared" si="9"/>
        <v>0.23400000000000001</v>
      </c>
      <c r="U18" s="647">
        <f t="shared" si="10"/>
        <v>307.33999999999997</v>
      </c>
      <c r="V18" s="388">
        <f t="shared" si="11"/>
        <v>307.57399999999996</v>
      </c>
      <c r="W18" s="237">
        <v>551.35</v>
      </c>
      <c r="X18" s="237">
        <v>82.16</v>
      </c>
      <c r="Y18" s="237">
        <v>622.58000000000004</v>
      </c>
      <c r="Z18" s="237">
        <v>569.54999999999995</v>
      </c>
      <c r="AA18" s="238">
        <v>997.05</v>
      </c>
      <c r="AB18" s="234">
        <v>230.215</v>
      </c>
      <c r="AC18" s="239">
        <v>77.125</v>
      </c>
      <c r="AD18" s="240">
        <v>0.23400000000000001</v>
      </c>
      <c r="AE18" s="242">
        <f t="shared" si="42"/>
        <v>307.34000000000003</v>
      </c>
      <c r="AF18" s="250">
        <f t="shared" si="43"/>
        <v>307.57400000000001</v>
      </c>
      <c r="AG18" s="242">
        <v>267.714</v>
      </c>
      <c r="AH18" s="243">
        <v>88.552999999999997</v>
      </c>
      <c r="AI18" s="244">
        <v>0.188</v>
      </c>
      <c r="AJ18" s="417"/>
      <c r="AK18" s="91">
        <f>'SEP_27&amp;28_03_OLEO'!E12</f>
        <v>63.06</v>
      </c>
      <c r="AL18" s="94">
        <f>'SEP_27&amp;28_03_OLEO'!D12</f>
        <v>86.670400000000015</v>
      </c>
      <c r="AM18" s="91">
        <f>'SEP_27&amp;28_03_OLEO'!I12</f>
        <v>320.22800000000001</v>
      </c>
      <c r="AN18" s="167">
        <v>768.13</v>
      </c>
      <c r="AO18" s="93">
        <f t="shared" si="49"/>
        <v>245.97673363999999</v>
      </c>
      <c r="AP18" s="165">
        <f>'SEP_27&amp;28_03_OLEO'!K12</f>
        <v>268.61799999999999</v>
      </c>
      <c r="AQ18" s="92">
        <f>'SEP_27&amp;28_03_GAS'!I12</f>
        <v>63.473999999999997</v>
      </c>
      <c r="AR18" s="92">
        <f>'SEP_27&amp;28_03_AGUA'!J12</f>
        <v>2.71</v>
      </c>
      <c r="AS18" s="92">
        <f t="shared" si="12"/>
        <v>309.45073364000001</v>
      </c>
      <c r="AT18" s="93">
        <f t="shared" si="13"/>
        <v>312.16073363999999</v>
      </c>
      <c r="AU18" s="281">
        <f t="shared" si="44"/>
        <v>-0.68209036545880952</v>
      </c>
      <c r="AV18" s="282">
        <f t="shared" si="14"/>
        <v>-1.4693499680487387</v>
      </c>
      <c r="AW18" s="145">
        <f t="shared" si="15"/>
        <v>72.69</v>
      </c>
      <c r="AX18" s="92">
        <f t="shared" si="16"/>
        <v>0.84030000000000005</v>
      </c>
      <c r="AY18" s="93">
        <f t="shared" si="17"/>
        <v>0.22</v>
      </c>
      <c r="AZ18" s="545">
        <f>'SEP_27&amp;28_03_OLEO'!J12*(1-'3-Dados_Totalizados_27&amp;28_03'!AY18/100)</f>
        <v>310.5383094</v>
      </c>
      <c r="BA18" s="153">
        <f t="shared" si="45"/>
        <v>260.94534138882</v>
      </c>
      <c r="BB18" s="544">
        <v>861.88</v>
      </c>
      <c r="BC18" s="282">
        <f t="shared" si="18"/>
        <v>224.9035708361962</v>
      </c>
      <c r="BD18" s="545">
        <f t="shared" si="19"/>
        <v>18968.116865553326</v>
      </c>
      <c r="BE18" s="153">
        <f>('SEP_27&amp;28_03_GAS'!H12+'3-Dados_Totalizados_27&amp;28_03'!BD18)/1000</f>
        <v>95.795316865553318</v>
      </c>
      <c r="BF18" s="282">
        <f t="shared" si="20"/>
        <v>83.706905830289145</v>
      </c>
      <c r="BG18" s="559">
        <f>'SEP_27&amp;28_03_OLEO'!J14*(AY18/100)</f>
        <v>0.68774200000000008</v>
      </c>
      <c r="BH18" s="153">
        <f>'SEP_27&amp;28_03_AGUA'!I12+'3-Dados_Totalizados_27&amp;28_03'!BG18</f>
        <v>3.401742</v>
      </c>
      <c r="BI18" s="436">
        <f t="shared" si="21"/>
        <v>3.387100902432</v>
      </c>
      <c r="BJ18" s="548">
        <f t="shared" si="22"/>
        <v>308.61047666648534</v>
      </c>
      <c r="BK18" s="546">
        <f t="shared" si="23"/>
        <v>311.99757756891734</v>
      </c>
      <c r="BL18" s="111"/>
      <c r="BM18" s="176" t="e">
        <f>(AB18-#REF!)/#REF!</f>
        <v>#REF!</v>
      </c>
      <c r="BN18" s="177">
        <f t="shared" si="0"/>
        <v>-7.8630380193882382E-2</v>
      </c>
      <c r="BO18" s="177">
        <f t="shared" si="1"/>
        <v>-0.93091436991676757</v>
      </c>
      <c r="BP18" s="176">
        <f t="shared" si="2"/>
        <v>2.5938990039658931E-2</v>
      </c>
      <c r="BQ18" s="177">
        <f t="shared" si="3"/>
        <v>-7.5601992900318465E-2</v>
      </c>
      <c r="BR18" s="178">
        <f t="shared" si="4"/>
        <v>-0.94473419794916835</v>
      </c>
      <c r="BS18" s="111"/>
      <c r="BT18" s="111"/>
      <c r="BU18" s="91">
        <f t="shared" si="24"/>
        <v>24.946776653196956</v>
      </c>
      <c r="BV18" s="761">
        <f t="shared" si="25"/>
        <v>-6.7686586111800011</v>
      </c>
      <c r="BW18" s="762">
        <f t="shared" si="26"/>
        <v>-100</v>
      </c>
      <c r="BX18" s="761">
        <f t="shared" si="27"/>
        <v>63.473999999999997</v>
      </c>
      <c r="BY18" s="762">
        <f t="shared" si="28"/>
        <v>-91.365313653136525</v>
      </c>
      <c r="BZ18" s="761">
        <f t="shared" si="29"/>
        <v>2.476</v>
      </c>
      <c r="CA18" s="763">
        <f t="shared" si="30"/>
        <v>-0.68209036545880952</v>
      </c>
      <c r="CB18" s="764">
        <f t="shared" si="31"/>
        <v>2.1107336400000349</v>
      </c>
      <c r="CC18" s="763">
        <f t="shared" si="32"/>
        <v>-1.4693499680487387</v>
      </c>
      <c r="CD18" s="93">
        <f t="shared" si="5"/>
        <v>4.586733640000034</v>
      </c>
      <c r="CE18" s="169" t="str">
        <f t="shared" si="33"/>
        <v>OK</v>
      </c>
      <c r="CF18" s="170" t="str">
        <f t="shared" si="34"/>
        <v>OK</v>
      </c>
      <c r="CH18" s="95">
        <f t="shared" si="35"/>
        <v>3.6999999999977717E-2</v>
      </c>
      <c r="CI18" s="76">
        <f t="shared" si="36"/>
        <v>0</v>
      </c>
      <c r="CJ18" s="33">
        <f t="shared" si="37"/>
        <v>3.0000000000000027E-2</v>
      </c>
      <c r="CK18" s="76">
        <f t="shared" si="46"/>
        <v>3.6999999999977717E-2</v>
      </c>
      <c r="CL18" s="97">
        <f t="shared" si="38"/>
        <v>6.6999999999977744E-2</v>
      </c>
      <c r="CM18" s="98">
        <f t="shared" si="39"/>
        <v>-1.3611263600000143</v>
      </c>
      <c r="CN18" s="76">
        <f t="shared" si="40"/>
        <v>-2.1100000000004115E-2</v>
      </c>
      <c r="CO18" s="76">
        <f t="shared" si="41"/>
        <v>1.103</v>
      </c>
      <c r="CP18" s="76">
        <f t="shared" si="47"/>
        <v>-1.3822263600000184</v>
      </c>
      <c r="CQ18" s="47">
        <f t="shared" si="50"/>
        <v>-0.27922636000001844</v>
      </c>
      <c r="CR18" s="75" t="s">
        <v>12</v>
      </c>
      <c r="CS18" s="96"/>
    </row>
    <row r="19" spans="1:97" s="418" customFormat="1" ht="21.75" customHeight="1" x14ac:dyDescent="0.25">
      <c r="A19" s="180">
        <v>46108.874999479165</v>
      </c>
      <c r="B19" s="180">
        <v>46108.916667129626</v>
      </c>
      <c r="C19" s="90">
        <f t="shared" si="6"/>
        <v>1.0000236110645346</v>
      </c>
      <c r="D19" s="258" cm="1">
        <f t="array" ref="D19">_xll.PITimeDat('3-Dados_Totalizados_27&amp;28_03'!$D$7,'3-Dados_Totalizados_27&amp;28_03'!B19,"","interpolated")</f>
        <v>2141.4090833678365</v>
      </c>
      <c r="E19" s="258" cm="1">
        <f t="array" ref="E19">_xll.PITimeDat($E$7,B19,"","interpolated")</f>
        <v>3.789554684654995E-2</v>
      </c>
      <c r="F19" s="258" cm="1">
        <f t="array" ref="F19">_xll.PITimeDat($F$7,B19,"","interpolated")</f>
        <v>3.7895541708082431E-2</v>
      </c>
      <c r="G19" s="258" cm="1">
        <f t="array" ref="G19">_xll.PITimeDat($G$7,B19,"","interpolated")</f>
        <v>14.570276641848224</v>
      </c>
      <c r="H19" s="416">
        <v>307.45699999999999</v>
      </c>
      <c r="I19" s="386">
        <v>0</v>
      </c>
      <c r="J19" s="386">
        <v>0.19700000000000001</v>
      </c>
      <c r="K19" s="386" cm="1">
        <f t="array" ref="K19">_xll.PITimeDat($K$7,B19,"","interpolated")</f>
        <v>0.36812339389028559</v>
      </c>
      <c r="L19" s="386">
        <v>307.45699999999999</v>
      </c>
      <c r="M19" s="388">
        <f t="shared" si="48"/>
        <v>307.654</v>
      </c>
      <c r="N19" s="381">
        <v>1</v>
      </c>
      <c r="O19" s="235">
        <v>1</v>
      </c>
      <c r="P19" s="235">
        <v>1</v>
      </c>
      <c r="Q19" s="236">
        <v>1</v>
      </c>
      <c r="R19" s="123">
        <f t="shared" si="7"/>
        <v>307.45699999999999</v>
      </c>
      <c r="S19" s="124">
        <f t="shared" si="8"/>
        <v>0</v>
      </c>
      <c r="T19" s="644">
        <f t="shared" si="9"/>
        <v>0.19700000000000001</v>
      </c>
      <c r="U19" s="647">
        <f t="shared" si="10"/>
        <v>307.45699999999999</v>
      </c>
      <c r="V19" s="388">
        <f t="shared" si="11"/>
        <v>307.654</v>
      </c>
      <c r="W19" s="237">
        <v>551.20000000000005</v>
      </c>
      <c r="X19" s="237">
        <v>82.18</v>
      </c>
      <c r="Y19" s="237">
        <v>622.54999999999995</v>
      </c>
      <c r="Z19" s="237">
        <v>569.54</v>
      </c>
      <c r="AA19" s="238">
        <v>997.05</v>
      </c>
      <c r="AB19" s="234">
        <v>230.303</v>
      </c>
      <c r="AC19" s="239">
        <v>77.153999999999996</v>
      </c>
      <c r="AD19" s="240">
        <v>0.19700000000000001</v>
      </c>
      <c r="AE19" s="242">
        <f t="shared" si="42"/>
        <v>307.45699999999999</v>
      </c>
      <c r="AF19" s="250">
        <f t="shared" si="43"/>
        <v>307.654</v>
      </c>
      <c r="AG19" s="242">
        <v>267.81599999999997</v>
      </c>
      <c r="AH19" s="243">
        <v>88.587000000000003</v>
      </c>
      <c r="AI19" s="244">
        <v>0.158</v>
      </c>
      <c r="AJ19" s="417"/>
      <c r="AK19" s="91">
        <f>'SEP_27&amp;28_03_OLEO'!E13</f>
        <v>62.92</v>
      </c>
      <c r="AL19" s="94">
        <f>'SEP_27&amp;28_03_OLEO'!D13</f>
        <v>84.184470000000005</v>
      </c>
      <c r="AM19" s="91">
        <f>'SEP_27&amp;28_03_OLEO'!I13</f>
        <v>319.97800000000001</v>
      </c>
      <c r="AN19" s="167">
        <v>768.13</v>
      </c>
      <c r="AO19" s="93">
        <f t="shared" si="49"/>
        <v>245.78470114000001</v>
      </c>
      <c r="AP19" s="165">
        <f>'SEP_27&amp;28_03_OLEO'!K13</f>
        <v>268.37799999999999</v>
      </c>
      <c r="AQ19" s="92">
        <f>'SEP_27&amp;28_03_GAS'!I13</f>
        <v>63.650500000000001</v>
      </c>
      <c r="AR19" s="92">
        <f>'SEP_27&amp;28_03_AGUA'!J13</f>
        <v>1.946</v>
      </c>
      <c r="AS19" s="92">
        <f t="shared" si="12"/>
        <v>309.43520114</v>
      </c>
      <c r="AT19" s="93">
        <f t="shared" si="13"/>
        <v>311.38120114000003</v>
      </c>
      <c r="AU19" s="281">
        <f t="shared" si="44"/>
        <v>-0.63929415034619241</v>
      </c>
      <c r="AV19" s="282">
        <f t="shared" si="14"/>
        <v>-1.1969897753475012</v>
      </c>
      <c r="AW19" s="145">
        <f t="shared" si="15"/>
        <v>72.69</v>
      </c>
      <c r="AX19" s="92">
        <f t="shared" si="16"/>
        <v>0.84030000000000005</v>
      </c>
      <c r="AY19" s="93">
        <f t="shared" si="17"/>
        <v>0.22</v>
      </c>
      <c r="AZ19" s="545">
        <f>'SEP_27&amp;28_03_OLEO'!J13*(1-'3-Dados_Totalizados_27&amp;28_03'!AY19/100)</f>
        <v>310.26291659999998</v>
      </c>
      <c r="BA19" s="153">
        <f t="shared" si="45"/>
        <v>260.71392881897998</v>
      </c>
      <c r="BB19" s="544">
        <v>861.88</v>
      </c>
      <c r="BC19" s="282">
        <f t="shared" si="18"/>
        <v>224.70412097050246</v>
      </c>
      <c r="BD19" s="545">
        <f t="shared" si="19"/>
        <v>18951.295485851653</v>
      </c>
      <c r="BE19" s="153">
        <f>('SEP_27&amp;28_03_GAS'!H13+'3-Dados_Totalizados_27&amp;28_03'!BD19)/1000</f>
        <v>95.992095485851664</v>
      </c>
      <c r="BF19" s="282">
        <f t="shared" si="20"/>
        <v>83.87885295649204</v>
      </c>
      <c r="BG19" s="559">
        <f>'SEP_27&amp;28_03_OLEO'!J15*(AY19/100)</f>
        <v>0.68843940000000003</v>
      </c>
      <c r="BH19" s="153">
        <f>'SEP_27&amp;28_03_AGUA'!I13+'3-Dados_Totalizados_27&amp;28_03'!BG19</f>
        <v>2.6374393999999999</v>
      </c>
      <c r="BI19" s="436">
        <f t="shared" si="21"/>
        <v>2.6260878608223996</v>
      </c>
      <c r="BJ19" s="548">
        <f t="shared" si="22"/>
        <v>308.5829739269945</v>
      </c>
      <c r="BK19" s="546">
        <f t="shared" si="23"/>
        <v>311.20906178781689</v>
      </c>
      <c r="BL19" s="111"/>
      <c r="BM19" s="176" t="e">
        <f>(AB19-#REF!)/#REF!</f>
        <v>#REF!</v>
      </c>
      <c r="BN19" s="177">
        <f t="shared" si="0"/>
        <v>-8.017340151253885E-2</v>
      </c>
      <c r="BO19" s="177">
        <f t="shared" si="1"/>
        <v>-0.92498346954076904</v>
      </c>
      <c r="BP19" s="176">
        <f t="shared" si="2"/>
        <v>2.7240858258674529E-2</v>
      </c>
      <c r="BQ19" s="177">
        <f t="shared" si="3"/>
        <v>-7.7142763144941479E-2</v>
      </c>
      <c r="BR19" s="178">
        <f t="shared" si="4"/>
        <v>-0.94009341029788218</v>
      </c>
      <c r="BS19" s="111"/>
      <c r="BT19" s="111"/>
      <c r="BU19" s="91">
        <f t="shared" si="24"/>
        <v>25.092000671299374</v>
      </c>
      <c r="BV19" s="761">
        <f t="shared" si="25"/>
        <v>-7.1020711810199941</v>
      </c>
      <c r="BW19" s="762">
        <f t="shared" si="26"/>
        <v>-100</v>
      </c>
      <c r="BX19" s="761">
        <f t="shared" si="27"/>
        <v>63.650500000000001</v>
      </c>
      <c r="BY19" s="762">
        <f t="shared" si="28"/>
        <v>-89.87667009249742</v>
      </c>
      <c r="BZ19" s="761">
        <f t="shared" si="29"/>
        <v>1.7489999999999999</v>
      </c>
      <c r="CA19" s="763">
        <f t="shared" si="30"/>
        <v>-0.63929415034619241</v>
      </c>
      <c r="CB19" s="764">
        <f t="shared" si="31"/>
        <v>1.9782011400000101</v>
      </c>
      <c r="CC19" s="763">
        <f t="shared" si="32"/>
        <v>-1.1969897753475012</v>
      </c>
      <c r="CD19" s="93">
        <f t="shared" si="5"/>
        <v>3.7272011400000338</v>
      </c>
      <c r="CE19" s="169" t="str">
        <f t="shared" si="33"/>
        <v>OK</v>
      </c>
      <c r="CF19" s="170" t="str">
        <f t="shared" si="34"/>
        <v>OK</v>
      </c>
      <c r="CH19" s="95">
        <f t="shared" si="35"/>
        <v>0.11700000000001864</v>
      </c>
      <c r="CI19" s="76">
        <f t="shared" si="36"/>
        <v>0</v>
      </c>
      <c r="CJ19" s="33">
        <f t="shared" si="37"/>
        <v>-3.7000000000000005E-2</v>
      </c>
      <c r="CK19" s="76">
        <f t="shared" si="46"/>
        <v>0.11700000000001864</v>
      </c>
      <c r="CL19" s="97">
        <f t="shared" si="38"/>
        <v>8.000000000001864E-2</v>
      </c>
      <c r="CM19" s="98">
        <f t="shared" si="39"/>
        <v>-0.19203249999998206</v>
      </c>
      <c r="CN19" s="76">
        <f t="shared" si="40"/>
        <v>0.17650000000000432</v>
      </c>
      <c r="CO19" s="76">
        <f t="shared" si="41"/>
        <v>-0.76400000000000001</v>
      </c>
      <c r="CP19" s="76">
        <f t="shared" si="47"/>
        <v>-1.5532499999977745E-2</v>
      </c>
      <c r="CQ19" s="47">
        <f t="shared" si="50"/>
        <v>-0.77953249999997776</v>
      </c>
      <c r="CR19" s="75" t="s">
        <v>12</v>
      </c>
      <c r="CS19" s="96"/>
    </row>
    <row r="20" spans="1:97" s="418" customFormat="1" ht="21.75" customHeight="1" x14ac:dyDescent="0.25">
      <c r="A20" s="180">
        <v>46108.916666087964</v>
      </c>
      <c r="B20" s="180">
        <v>46108.958333854163</v>
      </c>
      <c r="C20" s="90">
        <f t="shared" si="6"/>
        <v>1.0000263887923211</v>
      </c>
      <c r="D20" s="258" cm="1">
        <f t="array" ref="D20">_xll.PITimeDat('3-Dados_Totalizados_27&amp;28_03'!$D$7,'3-Dados_Totalizados_27&amp;28_03'!B20,"","interpolated")</f>
        <v>2140.495461984679</v>
      </c>
      <c r="E20" s="258" cm="1">
        <f t="array" ref="E20">_xll.PITimeDat($E$7,B20,"","interpolated")</f>
        <v>3.715667980721192E-2</v>
      </c>
      <c r="F20" s="258" cm="1">
        <f t="array" ref="F20">_xll.PITimeDat($F$7,B20,"","interpolated")</f>
        <v>3.7156697129377948E-2</v>
      </c>
      <c r="G20" s="258" cm="1">
        <f t="array" ref="G20">_xll.PITimeDat($G$7,B20,"","interpolated")</f>
        <v>14.567080593944398</v>
      </c>
      <c r="H20" s="416">
        <v>307.27</v>
      </c>
      <c r="I20" s="386">
        <v>0</v>
      </c>
      <c r="J20" s="387">
        <v>0.19900000000000001</v>
      </c>
      <c r="K20" s="387" cm="1">
        <f t="array" ref="K20">_xll.PITimeDat($K$7,B20,"","interpolated")</f>
        <v>0.36163859660341796</v>
      </c>
      <c r="L20" s="386">
        <v>307.27</v>
      </c>
      <c r="M20" s="388">
        <f t="shared" si="48"/>
        <v>307.46899999999999</v>
      </c>
      <c r="N20" s="381">
        <v>1</v>
      </c>
      <c r="O20" s="235">
        <v>1</v>
      </c>
      <c r="P20" s="235">
        <v>1</v>
      </c>
      <c r="Q20" s="236">
        <v>1</v>
      </c>
      <c r="R20" s="123">
        <f t="shared" si="7"/>
        <v>307.27</v>
      </c>
      <c r="S20" s="124">
        <f t="shared" si="8"/>
        <v>0</v>
      </c>
      <c r="T20" s="644">
        <f t="shared" si="9"/>
        <v>0.19900000000000001</v>
      </c>
      <c r="U20" s="647">
        <f t="shared" si="10"/>
        <v>307.27</v>
      </c>
      <c r="V20" s="388">
        <f t="shared" si="11"/>
        <v>307.46899999999999</v>
      </c>
      <c r="W20" s="237">
        <v>551.14</v>
      </c>
      <c r="X20" s="237">
        <v>82.19</v>
      </c>
      <c r="Y20" s="237">
        <v>622.53</v>
      </c>
      <c r="Z20" s="237">
        <v>569.53</v>
      </c>
      <c r="AA20" s="238">
        <v>997.05</v>
      </c>
      <c r="AB20" s="234">
        <v>230.16300000000001</v>
      </c>
      <c r="AC20" s="239">
        <v>77.106999999999999</v>
      </c>
      <c r="AD20" s="240">
        <v>0.19900000000000001</v>
      </c>
      <c r="AE20" s="242">
        <f t="shared" si="42"/>
        <v>307.27</v>
      </c>
      <c r="AF20" s="250">
        <f t="shared" si="43"/>
        <v>307.46899999999999</v>
      </c>
      <c r="AG20" s="242">
        <v>267.65300000000002</v>
      </c>
      <c r="AH20" s="243">
        <v>88.533000000000001</v>
      </c>
      <c r="AI20" s="244">
        <v>0.16</v>
      </c>
      <c r="AJ20" s="417"/>
      <c r="AK20" s="91">
        <f>'SEP_27&amp;28_03_OLEO'!E14</f>
        <v>62.84</v>
      </c>
      <c r="AL20" s="94">
        <f>'SEP_27&amp;28_03_OLEO'!D14</f>
        <v>84.341100000000012</v>
      </c>
      <c r="AM20" s="91">
        <f>'SEP_27&amp;28_03_OLEO'!I14</f>
        <v>321.66500000000002</v>
      </c>
      <c r="AN20" s="167">
        <v>768.13</v>
      </c>
      <c r="AO20" s="93">
        <f t="shared" si="49"/>
        <v>247.08053645000001</v>
      </c>
      <c r="AP20" s="165">
        <f>'SEP_27&amp;28_03_OLEO'!K14</f>
        <v>269.81299999999999</v>
      </c>
      <c r="AQ20" s="92">
        <f>'SEP_27&amp;28_03_GAS'!I14</f>
        <v>63.405900000000003</v>
      </c>
      <c r="AR20" s="92">
        <f>'SEP_27&amp;28_03_AGUA'!J14</f>
        <v>0.83099999999999996</v>
      </c>
      <c r="AS20" s="92">
        <f t="shared" si="12"/>
        <v>310.48643645000004</v>
      </c>
      <c r="AT20" s="93">
        <f t="shared" si="13"/>
        <v>311.31743645000006</v>
      </c>
      <c r="AU20" s="281">
        <f t="shared" si="44"/>
        <v>-1.0359346085374144</v>
      </c>
      <c r="AV20" s="282">
        <f t="shared" si="14"/>
        <v>-1.2361776114709011</v>
      </c>
      <c r="AW20" s="145">
        <f t="shared" si="15"/>
        <v>72.69</v>
      </c>
      <c r="AX20" s="92">
        <f t="shared" si="16"/>
        <v>0.84030000000000005</v>
      </c>
      <c r="AY20" s="93">
        <f t="shared" si="17"/>
        <v>0.25</v>
      </c>
      <c r="AZ20" s="545">
        <f>'SEP_27&amp;28_03_OLEO'!J14*(1-'3-Dados_Totalizados_27&amp;28_03'!AY20/100)</f>
        <v>311.82847500000003</v>
      </c>
      <c r="BA20" s="153">
        <f t="shared" si="45"/>
        <v>262.02946754250002</v>
      </c>
      <c r="BB20" s="544">
        <v>861.88</v>
      </c>
      <c r="BC20" s="282">
        <f t="shared" si="18"/>
        <v>225.83795748552993</v>
      </c>
      <c r="BD20" s="545">
        <f t="shared" si="19"/>
        <v>19046.921995664325</v>
      </c>
      <c r="BE20" s="153">
        <f>('SEP_27&amp;28_03_GAS'!H14+'3-Dados_Totalizados_27&amp;28_03'!BD20)/1000</f>
        <v>95.791621995664315</v>
      </c>
      <c r="BF20" s="282">
        <f t="shared" si="20"/>
        <v>83.703677216031423</v>
      </c>
      <c r="BG20" s="559">
        <f>'SEP_27&amp;28_03_OLEO'!J16*(AY20/100)</f>
        <v>0.78054500000000004</v>
      </c>
      <c r="BH20" s="153">
        <f>'SEP_27&amp;28_03_AGUA'!I14+'3-Dados_Totalizados_27&amp;28_03'!BG20</f>
        <v>1.613545</v>
      </c>
      <c r="BI20" s="436">
        <f t="shared" si="21"/>
        <v>1.6066003023200002</v>
      </c>
      <c r="BJ20" s="548">
        <f t="shared" si="22"/>
        <v>309.54163470156135</v>
      </c>
      <c r="BK20" s="546">
        <f t="shared" si="23"/>
        <v>311.14823500388133</v>
      </c>
      <c r="BL20" s="111"/>
      <c r="BM20" s="176" t="e">
        <f>(AB20-#REF!)/#REF!</f>
        <v>#REF!</v>
      </c>
      <c r="BN20" s="177">
        <f t="shared" si="0"/>
        <v>-7.8809885484552991E-2</v>
      </c>
      <c r="BO20" s="177">
        <f t="shared" si="1"/>
        <v>-0.87613596255855586</v>
      </c>
      <c r="BP20" s="176">
        <f t="shared" si="2"/>
        <v>2.146145053929056E-2</v>
      </c>
      <c r="BQ20" s="177">
        <f t="shared" si="3"/>
        <v>-7.5775123590587606E-2</v>
      </c>
      <c r="BR20" s="178">
        <f t="shared" si="4"/>
        <v>-0.90083945598046544</v>
      </c>
      <c r="BS20" s="111"/>
      <c r="BT20" s="111"/>
      <c r="BU20" s="91">
        <f t="shared" si="24"/>
        <v>24.360260996187421</v>
      </c>
      <c r="BV20" s="761">
        <f t="shared" si="25"/>
        <v>-5.623532457500005</v>
      </c>
      <c r="BW20" s="762">
        <f t="shared" si="26"/>
        <v>-100</v>
      </c>
      <c r="BX20" s="761">
        <f t="shared" si="27"/>
        <v>63.405900000000003</v>
      </c>
      <c r="BY20" s="762">
        <f t="shared" si="28"/>
        <v>-76.052948255114316</v>
      </c>
      <c r="BZ20" s="761">
        <f t="shared" si="29"/>
        <v>0.6319999999999999</v>
      </c>
      <c r="CA20" s="763">
        <f t="shared" si="30"/>
        <v>-1.0359346085374144</v>
      </c>
      <c r="CB20" s="764">
        <f t="shared" si="31"/>
        <v>3.2164364500000602</v>
      </c>
      <c r="CC20" s="763">
        <f t="shared" si="32"/>
        <v>-1.2361776114709011</v>
      </c>
      <c r="CD20" s="93">
        <f t="shared" si="5"/>
        <v>3.8484364500000652</v>
      </c>
      <c r="CE20" s="169" t="str">
        <f t="shared" si="33"/>
        <v>OK</v>
      </c>
      <c r="CF20" s="170" t="str">
        <f t="shared" si="34"/>
        <v>OK</v>
      </c>
      <c r="CH20" s="95">
        <f t="shared" si="35"/>
        <v>-0.18700000000001182</v>
      </c>
      <c r="CI20" s="76">
        <f t="shared" si="36"/>
        <v>0</v>
      </c>
      <c r="CJ20" s="33">
        <f t="shared" si="37"/>
        <v>2.0000000000000018E-3</v>
      </c>
      <c r="CK20" s="76">
        <f t="shared" si="46"/>
        <v>-0.18700000000001182</v>
      </c>
      <c r="CL20" s="97">
        <f t="shared" si="38"/>
        <v>-0.18500000000001182</v>
      </c>
      <c r="CM20" s="98">
        <f t="shared" si="39"/>
        <v>1.2958353100000011</v>
      </c>
      <c r="CN20" s="76">
        <f t="shared" si="40"/>
        <v>-0.24459999999999837</v>
      </c>
      <c r="CO20" s="76">
        <f t="shared" si="41"/>
        <v>-1.115</v>
      </c>
      <c r="CP20" s="76">
        <f t="shared" si="47"/>
        <v>1.0512353100000027</v>
      </c>
      <c r="CQ20" s="47">
        <f t="shared" si="50"/>
        <v>-6.3764689999997293E-2</v>
      </c>
      <c r="CR20" s="75" t="s">
        <v>12</v>
      </c>
      <c r="CS20" s="96"/>
    </row>
    <row r="21" spans="1:97" s="418" customFormat="1" ht="21.75" customHeight="1" x14ac:dyDescent="0.25">
      <c r="A21" s="180">
        <v>46108.958332696762</v>
      </c>
      <c r="B21" s="180">
        <v>46109.000000578701</v>
      </c>
      <c r="C21" s="90">
        <f t="shared" si="6"/>
        <v>1.0000291665201075</v>
      </c>
      <c r="D21" s="258" cm="1">
        <f t="array" ref="D21">_xll.PITimeDat('3-Dados_Totalizados_27&amp;28_03'!$D$7,'3-Dados_Totalizados_27&amp;28_03'!B21,"","interpolated")</f>
        <v>2132.9688523606847</v>
      </c>
      <c r="E21" s="258" cm="1">
        <f t="array" ref="E21">_xll.PITimeDat($E$7,B21,"","interpolated")</f>
        <v>3.9621413400157783E-2</v>
      </c>
      <c r="F21" s="258" cm="1">
        <f t="array" ref="F21">_xll.PITimeDat($F$7,B21,"","interpolated")</f>
        <v>3.9621410377628022E-2</v>
      </c>
      <c r="G21" s="258" cm="1">
        <f t="array" ref="G21">_xll.PITimeDat($G$7,B21,"","interpolated")</f>
        <v>14.541049620010817</v>
      </c>
      <c r="H21" s="416">
        <v>307.10899999999998</v>
      </c>
      <c r="I21" s="386">
        <v>0</v>
      </c>
      <c r="J21" s="386">
        <v>0.20599999999999999</v>
      </c>
      <c r="K21" s="386" cm="1">
        <f t="array" ref="K21">_xll.PITimeDat($K$7,B21,"","interpolated")</f>
        <v>0.36151271592649298</v>
      </c>
      <c r="L21" s="386">
        <v>307.10899999999998</v>
      </c>
      <c r="M21" s="388">
        <f t="shared" si="48"/>
        <v>307.315</v>
      </c>
      <c r="N21" s="381">
        <v>1</v>
      </c>
      <c r="O21" s="235">
        <v>1</v>
      </c>
      <c r="P21" s="235">
        <v>1</v>
      </c>
      <c r="Q21" s="236">
        <v>1</v>
      </c>
      <c r="R21" s="123">
        <f t="shared" si="7"/>
        <v>307.10899999999998</v>
      </c>
      <c r="S21" s="124">
        <f t="shared" si="8"/>
        <v>0</v>
      </c>
      <c r="T21" s="644">
        <f t="shared" si="9"/>
        <v>0.20599999999999999</v>
      </c>
      <c r="U21" s="647">
        <f t="shared" si="10"/>
        <v>307.10899999999998</v>
      </c>
      <c r="V21" s="388">
        <f t="shared" si="11"/>
        <v>307.315</v>
      </c>
      <c r="W21" s="237">
        <v>551.12</v>
      </c>
      <c r="X21" s="237">
        <v>82.2</v>
      </c>
      <c r="Y21" s="237">
        <v>622.52</v>
      </c>
      <c r="Z21" s="237">
        <v>569.52</v>
      </c>
      <c r="AA21" s="238">
        <v>997.05</v>
      </c>
      <c r="AB21" s="234">
        <v>230.042</v>
      </c>
      <c r="AC21" s="239">
        <v>77.066999999999993</v>
      </c>
      <c r="AD21" s="240">
        <v>0.20599999999999999</v>
      </c>
      <c r="AE21" s="242">
        <f t="shared" si="42"/>
        <v>307.10899999999998</v>
      </c>
      <c r="AF21" s="250">
        <f t="shared" si="43"/>
        <v>307.315</v>
      </c>
      <c r="AG21" s="242">
        <v>267.51299999999998</v>
      </c>
      <c r="AH21" s="243">
        <v>88.486999999999995</v>
      </c>
      <c r="AI21" s="244">
        <v>0.16600000000000001</v>
      </c>
      <c r="AJ21" s="417"/>
      <c r="AK21" s="91">
        <f>'SEP_27&amp;28_03_OLEO'!E15</f>
        <v>62.85</v>
      </c>
      <c r="AL21" s="94">
        <f>'SEP_27&amp;28_03_OLEO'!D15</f>
        <v>84.310100000000006</v>
      </c>
      <c r="AM21" s="91">
        <f>'SEP_27&amp;28_03_OLEO'!I15</f>
        <v>321.99400000000003</v>
      </c>
      <c r="AN21" s="167">
        <v>768.13</v>
      </c>
      <c r="AO21" s="93">
        <f t="shared" si="49"/>
        <v>247.33325122000002</v>
      </c>
      <c r="AP21" s="165">
        <f>'SEP_27&amp;28_03_OLEO'!K15</f>
        <v>270.08800000000002</v>
      </c>
      <c r="AQ21" s="92">
        <f>'SEP_27&amp;28_03_GAS'!I15</f>
        <v>63.436399999999999</v>
      </c>
      <c r="AR21" s="92">
        <f>'SEP_27&amp;28_03_AGUA'!J15</f>
        <v>1.5029999999999999</v>
      </c>
      <c r="AS21" s="92">
        <f t="shared" si="12"/>
        <v>310.76965122000001</v>
      </c>
      <c r="AT21" s="93">
        <f t="shared" si="13"/>
        <v>312.27265122</v>
      </c>
      <c r="AU21" s="281">
        <f t="shared" si="44"/>
        <v>-1.1779307296028718</v>
      </c>
      <c r="AV21" s="282">
        <f t="shared" si="14"/>
        <v>-1.5876033974256964</v>
      </c>
      <c r="AW21" s="145">
        <f t="shared" si="15"/>
        <v>72.69</v>
      </c>
      <c r="AX21" s="92">
        <f t="shared" si="16"/>
        <v>0.84030000000000005</v>
      </c>
      <c r="AY21" s="93">
        <f t="shared" si="17"/>
        <v>0.25</v>
      </c>
      <c r="AZ21" s="545">
        <f>'SEP_27&amp;28_03_OLEO'!J15*(1-'3-Dados_Totalizados_27&amp;28_03'!AY21/100)</f>
        <v>312.14468250000004</v>
      </c>
      <c r="BA21" s="153">
        <f t="shared" si="45"/>
        <v>262.29517670475008</v>
      </c>
      <c r="BB21" s="544">
        <v>861.88</v>
      </c>
      <c r="BC21" s="282">
        <f t="shared" si="18"/>
        <v>226.06696689828999</v>
      </c>
      <c r="BD21" s="545">
        <f t="shared" si="19"/>
        <v>19066.236394668282</v>
      </c>
      <c r="BE21" s="153">
        <f>('SEP_27&amp;28_03_GAS'!H15+'3-Dados_Totalizados_27&amp;28_03'!BD21)/1000</f>
        <v>95.847836394668292</v>
      </c>
      <c r="BF21" s="282">
        <f t="shared" si="20"/>
        <v>83.752797920025102</v>
      </c>
      <c r="BG21" s="559">
        <f>'SEP_27&amp;28_03_OLEO'!J17*(AY21/100)</f>
        <v>0.77906750000000002</v>
      </c>
      <c r="BH21" s="153">
        <f>'SEP_27&amp;28_03_AGUA'!I15+'3-Dados_Totalizados_27&amp;28_03'!BG21</f>
        <v>2.2840674999999999</v>
      </c>
      <c r="BI21" s="436">
        <f t="shared" si="21"/>
        <v>2.2742368734799996</v>
      </c>
      <c r="BJ21" s="548">
        <f t="shared" si="22"/>
        <v>309.81976481831509</v>
      </c>
      <c r="BK21" s="546">
        <f t="shared" si="23"/>
        <v>312.09400169179509</v>
      </c>
      <c r="BL21" s="111"/>
      <c r="BM21" s="176" t="e">
        <f>(AB21-#REF!)/#REF!</f>
        <v>#REF!</v>
      </c>
      <c r="BN21" s="177">
        <f t="shared" si="0"/>
        <v>-7.9827756039975231E-2</v>
      </c>
      <c r="BO21" s="177">
        <f t="shared" si="1"/>
        <v>-0.90942016533010384</v>
      </c>
      <c r="BP21" s="176">
        <f t="shared" si="2"/>
        <v>1.9892944128070224E-2</v>
      </c>
      <c r="BQ21" s="177">
        <f t="shared" si="3"/>
        <v>-7.6797105407355418E-2</v>
      </c>
      <c r="BR21" s="178">
        <f t="shared" si="4"/>
        <v>-0.92732263823201377</v>
      </c>
      <c r="BS21" s="111"/>
      <c r="BT21" s="111"/>
      <c r="BU21" s="91">
        <f t="shared" si="24"/>
        <v>24.168100522331358</v>
      </c>
      <c r="BV21" s="761">
        <f t="shared" si="25"/>
        <v>-5.2178232952499002</v>
      </c>
      <c r="BW21" s="762">
        <f t="shared" si="26"/>
        <v>-100</v>
      </c>
      <c r="BX21" s="761">
        <f t="shared" si="27"/>
        <v>63.436399999999999</v>
      </c>
      <c r="BY21" s="762">
        <f t="shared" si="28"/>
        <v>-86.294078509647363</v>
      </c>
      <c r="BZ21" s="761">
        <f t="shared" si="29"/>
        <v>1.2969999999999999</v>
      </c>
      <c r="CA21" s="763">
        <f t="shared" si="30"/>
        <v>-1.1779307296028718</v>
      </c>
      <c r="CB21" s="764">
        <f t="shared" si="31"/>
        <v>3.6606512200000338</v>
      </c>
      <c r="CC21" s="763">
        <f t="shared" si="32"/>
        <v>-1.5876033974256964</v>
      </c>
      <c r="CD21" s="93">
        <f t="shared" si="5"/>
        <v>4.9576512200000025</v>
      </c>
      <c r="CE21" s="169" t="str">
        <f t="shared" si="33"/>
        <v>OK</v>
      </c>
      <c r="CF21" s="170" t="str">
        <f t="shared" si="34"/>
        <v>OK</v>
      </c>
      <c r="CH21" s="95">
        <f t="shared" si="35"/>
        <v>-0.16100000000000136</v>
      </c>
      <c r="CI21" s="76">
        <f t="shared" si="36"/>
        <v>0</v>
      </c>
      <c r="CJ21" s="33">
        <f t="shared" si="37"/>
        <v>6.9999999999999785E-3</v>
      </c>
      <c r="CK21" s="76">
        <f t="shared" si="46"/>
        <v>-0.16100000000000136</v>
      </c>
      <c r="CL21" s="97">
        <f t="shared" si="38"/>
        <v>-0.15400000000000139</v>
      </c>
      <c r="CM21" s="98">
        <f t="shared" si="39"/>
        <v>0.25271477000001141</v>
      </c>
      <c r="CN21" s="76">
        <f t="shared" si="40"/>
        <v>3.0499999999996419E-2</v>
      </c>
      <c r="CO21" s="76">
        <f t="shared" si="41"/>
        <v>0.67199999999999993</v>
      </c>
      <c r="CP21" s="76">
        <f t="shared" si="47"/>
        <v>0.28321477000000783</v>
      </c>
      <c r="CQ21" s="47">
        <f t="shared" si="50"/>
        <v>0.95521477000000776</v>
      </c>
      <c r="CR21" s="75" t="s">
        <v>12</v>
      </c>
      <c r="CS21" s="96"/>
    </row>
    <row r="22" spans="1:97" s="418" customFormat="1" ht="21.75" customHeight="1" x14ac:dyDescent="0.25">
      <c r="A22" s="180">
        <v>46108.999999305554</v>
      </c>
      <c r="B22" s="180">
        <v>46109.041667303238</v>
      </c>
      <c r="C22" s="90">
        <f t="shared" si="6"/>
        <v>1.000031944422517</v>
      </c>
      <c r="D22" s="258" cm="1">
        <f t="array" ref="D22">_xll.PITimeDat('3-Dados_Totalizados_27&amp;28_03'!$D$7,'3-Dados_Totalizados_27&amp;28_03'!B22,"","interpolated")</f>
        <v>2134.1862100068611</v>
      </c>
      <c r="E22" s="258" cm="1">
        <f t="array" ref="E22">_xll.PITimeDat($E$7,B22,"","interpolated")</f>
        <v>3.9534433218343427E-2</v>
      </c>
      <c r="F22" s="258" cm="1">
        <f t="array" ref="F22">_xll.PITimeDat($F$7,B22,"","interpolated")</f>
        <v>3.9534437490295136E-2</v>
      </c>
      <c r="G22" s="258" cm="1">
        <f t="array" ref="G22">_xll.PITimeDat($G$7,B22,"","interpolated")</f>
        <v>14.545404436944894</v>
      </c>
      <c r="H22" s="416">
        <v>306.767</v>
      </c>
      <c r="I22" s="386">
        <v>0</v>
      </c>
      <c r="J22" s="386">
        <v>0.20200000000000001</v>
      </c>
      <c r="K22" s="386" cm="1">
        <f t="array" ref="K22">_xll.PITimeDat($K$7,B22,"","interpolated")</f>
        <v>0.36168422048690668</v>
      </c>
      <c r="L22" s="386">
        <v>306.767</v>
      </c>
      <c r="M22" s="388">
        <f t="shared" si="48"/>
        <v>306.96899999999999</v>
      </c>
      <c r="N22" s="381">
        <v>1</v>
      </c>
      <c r="O22" s="235">
        <v>1</v>
      </c>
      <c r="P22" s="235">
        <v>1</v>
      </c>
      <c r="Q22" s="236">
        <v>1</v>
      </c>
      <c r="R22" s="123">
        <f t="shared" si="7"/>
        <v>306.767</v>
      </c>
      <c r="S22" s="124">
        <f t="shared" si="8"/>
        <v>0</v>
      </c>
      <c r="T22" s="644">
        <f t="shared" si="9"/>
        <v>0.20200000000000001</v>
      </c>
      <c r="U22" s="647">
        <f t="shared" si="10"/>
        <v>306.767</v>
      </c>
      <c r="V22" s="388">
        <f t="shared" si="11"/>
        <v>306.96899999999999</v>
      </c>
      <c r="W22" s="237">
        <v>551.15</v>
      </c>
      <c r="X22" s="237">
        <v>82.21</v>
      </c>
      <c r="Y22" s="237">
        <v>622.52</v>
      </c>
      <c r="Z22" s="237">
        <v>569.52</v>
      </c>
      <c r="AA22" s="238">
        <v>997.05</v>
      </c>
      <c r="AB22" s="234">
        <v>229.786</v>
      </c>
      <c r="AC22" s="239">
        <v>76.980999999999995</v>
      </c>
      <c r="AD22" s="240">
        <v>0.20200000000000001</v>
      </c>
      <c r="AE22" s="242">
        <f t="shared" si="42"/>
        <v>306.767</v>
      </c>
      <c r="AF22" s="250">
        <f t="shared" si="43"/>
        <v>306.96899999999999</v>
      </c>
      <c r="AG22" s="242">
        <v>267.21499999999997</v>
      </c>
      <c r="AH22" s="243">
        <v>88.388000000000005</v>
      </c>
      <c r="AI22" s="244">
        <v>0.16200000000000001</v>
      </c>
      <c r="AJ22" s="417"/>
      <c r="AK22" s="91">
        <f>'SEP_27&amp;28_03_OLEO'!E16</f>
        <v>62.87</v>
      </c>
      <c r="AL22" s="94">
        <f>'SEP_27&amp;28_03_OLEO'!D16</f>
        <v>84.308799999999991</v>
      </c>
      <c r="AM22" s="91">
        <f>'SEP_27&amp;28_03_OLEO'!I16</f>
        <v>321.26900000000001</v>
      </c>
      <c r="AN22" s="167">
        <v>768.13</v>
      </c>
      <c r="AO22" s="93">
        <f t="shared" si="49"/>
        <v>246.77635696999999</v>
      </c>
      <c r="AP22" s="165">
        <f>'SEP_27&amp;28_03_OLEO'!K16</f>
        <v>269.47500000000002</v>
      </c>
      <c r="AQ22" s="92">
        <f>'SEP_27&amp;28_03_GAS'!I16</f>
        <v>63.553899999999999</v>
      </c>
      <c r="AR22" s="92">
        <f>'SEP_27&amp;28_03_AGUA'!J16</f>
        <v>1.9550000000000001</v>
      </c>
      <c r="AS22" s="92">
        <f t="shared" si="12"/>
        <v>310.33025696999999</v>
      </c>
      <c r="AT22" s="93">
        <f t="shared" si="13"/>
        <v>312.28525696999998</v>
      </c>
      <c r="AU22" s="281">
        <f t="shared" si="44"/>
        <v>-1.148214487620669</v>
      </c>
      <c r="AV22" s="282">
        <f t="shared" si="14"/>
        <v>-1.7023720625116479</v>
      </c>
      <c r="AW22" s="145">
        <f t="shared" si="15"/>
        <v>72.69</v>
      </c>
      <c r="AX22" s="92">
        <f t="shared" si="16"/>
        <v>0.84030000000000005</v>
      </c>
      <c r="AY22" s="93">
        <f t="shared" si="17"/>
        <v>0.25</v>
      </c>
      <c r="AZ22" s="545">
        <f>'SEP_27&amp;28_03_OLEO'!J16*(1-'3-Dados_Totalizados_27&amp;28_03'!AY22/100)</f>
        <v>311.43745500000006</v>
      </c>
      <c r="BA22" s="153">
        <f t="shared" si="45"/>
        <v>261.70089343650005</v>
      </c>
      <c r="BB22" s="544">
        <v>861.88</v>
      </c>
      <c r="BC22" s="282">
        <f t="shared" si="18"/>
        <v>225.55476603505068</v>
      </c>
      <c r="BD22" s="545">
        <f t="shared" si="19"/>
        <v>19023.037943899188</v>
      </c>
      <c r="BE22" s="153">
        <f>('SEP_27&amp;28_03_GAS'!H16+'3-Dados_Totalizados_27&amp;28_03'!BD22)/1000</f>
        <v>95.946937943899187</v>
      </c>
      <c r="BF22" s="282">
        <f t="shared" si="20"/>
        <v>83.839393844758547</v>
      </c>
      <c r="BG22" s="559">
        <f>'SEP_27&amp;28_03_OLEO'!J18*(AY22/100)</f>
        <v>0.77898500000000004</v>
      </c>
      <c r="BH22" s="153">
        <f>'SEP_27&amp;28_03_AGUA'!I16+'3-Dados_Totalizados_27&amp;28_03'!BG22</f>
        <v>2.7379850000000001</v>
      </c>
      <c r="BI22" s="436">
        <f t="shared" si="21"/>
        <v>2.7262007125600003</v>
      </c>
      <c r="BJ22" s="548">
        <f t="shared" si="22"/>
        <v>309.39415987980919</v>
      </c>
      <c r="BK22" s="546">
        <f t="shared" si="23"/>
        <v>312.1203605923692</v>
      </c>
      <c r="BL22" s="111"/>
      <c r="BM22" s="176" t="e">
        <f>(AB22-#REF!)/#REF!</f>
        <v>#REF!</v>
      </c>
      <c r="BN22" s="177">
        <f t="shared" si="0"/>
        <v>-8.1803953132794788E-2</v>
      </c>
      <c r="BO22" s="177">
        <f t="shared" si="1"/>
        <v>-0.92590420834777254</v>
      </c>
      <c r="BP22" s="176">
        <f t="shared" si="2"/>
        <v>2.1070262661666773E-2</v>
      </c>
      <c r="BQ22" s="177">
        <f t="shared" si="3"/>
        <v>-7.8782482337465973E-2</v>
      </c>
      <c r="BR22" s="178">
        <f t="shared" si="4"/>
        <v>-0.94083240046968852</v>
      </c>
      <c r="BS22" s="111"/>
      <c r="BT22" s="111"/>
      <c r="BU22" s="91">
        <f t="shared" si="24"/>
        <v>24.309720658244792</v>
      </c>
      <c r="BV22" s="761">
        <f t="shared" si="25"/>
        <v>-5.5141065634999222</v>
      </c>
      <c r="BW22" s="762">
        <f t="shared" si="26"/>
        <v>-100</v>
      </c>
      <c r="BX22" s="761">
        <f t="shared" si="27"/>
        <v>63.553899999999999</v>
      </c>
      <c r="BY22" s="762">
        <f t="shared" si="28"/>
        <v>-89.667519181585675</v>
      </c>
      <c r="BZ22" s="761">
        <f t="shared" si="29"/>
        <v>1.7530000000000001</v>
      </c>
      <c r="CA22" s="763">
        <f t="shared" si="30"/>
        <v>-1.148214487620669</v>
      </c>
      <c r="CB22" s="764">
        <f t="shared" si="31"/>
        <v>3.5632569699999976</v>
      </c>
      <c r="CC22" s="763">
        <f t="shared" si="32"/>
        <v>-1.7023720625116479</v>
      </c>
      <c r="CD22" s="93">
        <f t="shared" si="5"/>
        <v>5.3162569699999835</v>
      </c>
      <c r="CE22" s="169" t="str">
        <f t="shared" si="33"/>
        <v>OK</v>
      </c>
      <c r="CF22" s="170" t="str">
        <f t="shared" si="34"/>
        <v>OK</v>
      </c>
      <c r="CH22" s="95">
        <f t="shared" si="35"/>
        <v>-0.34199999999998454</v>
      </c>
      <c r="CI22" s="76">
        <f t="shared" si="36"/>
        <v>0</v>
      </c>
      <c r="CJ22" s="33">
        <f t="shared" si="37"/>
        <v>-3.9999999999999758E-3</v>
      </c>
      <c r="CK22" s="76">
        <f t="shared" si="46"/>
        <v>-0.34199999999998454</v>
      </c>
      <c r="CL22" s="97">
        <f t="shared" si="38"/>
        <v>-0.34599999999998454</v>
      </c>
      <c r="CM22" s="98">
        <f t="shared" si="39"/>
        <v>-0.55689425000002757</v>
      </c>
      <c r="CN22" s="76">
        <f t="shared" si="40"/>
        <v>0.11749999999999972</v>
      </c>
      <c r="CO22" s="76">
        <f t="shared" si="41"/>
        <v>0.45200000000000018</v>
      </c>
      <c r="CP22" s="76">
        <f t="shared" si="47"/>
        <v>-0.43939425000002785</v>
      </c>
      <c r="CQ22" s="47">
        <f t="shared" si="50"/>
        <v>1.2605749999972327E-2</v>
      </c>
      <c r="CR22" s="75" t="s">
        <v>12</v>
      </c>
      <c r="CS22" s="96"/>
    </row>
    <row r="23" spans="1:97" s="418" customFormat="1" ht="21.75" customHeight="1" x14ac:dyDescent="0.25">
      <c r="A23" s="180">
        <v>46109.041665914352</v>
      </c>
      <c r="B23" s="180">
        <v>46109.083334027775</v>
      </c>
      <c r="C23" s="90">
        <f t="shared" si="6"/>
        <v>1.0000347221503034</v>
      </c>
      <c r="D23" s="258" cm="1">
        <f t="array" ref="D23">_xll.PITimeDat('3-Dados_Totalizados_27&amp;28_03'!$D$7,'3-Dados_Totalizados_27&amp;28_03'!B23,"","interpolated")</f>
        <v>2137.9475222003225</v>
      </c>
      <c r="E23" s="258" cm="1">
        <f t="array" ref="E23">_xll.PITimeDat($E$7,B23,"","interpolated")</f>
        <v>3.5970485671386186E-2</v>
      </c>
      <c r="F23" s="258" cm="1">
        <f t="array" ref="F23">_xll.PITimeDat($F$7,B23,"","interpolated")</f>
        <v>3.5970477225076881E-2</v>
      </c>
      <c r="G23" s="258" cm="1">
        <f t="array" ref="G23">_xll.PITimeDat($G$7,B23,"","interpolated")</f>
        <v>14.559419953239557</v>
      </c>
      <c r="H23" s="416">
        <v>306.90199999999999</v>
      </c>
      <c r="I23" s="386">
        <v>0</v>
      </c>
      <c r="J23" s="386">
        <v>0.214</v>
      </c>
      <c r="K23" s="386" cm="1">
        <f t="array" ref="K23">_xll.PITimeDat($K$7,B23,"","interpolated")</f>
        <v>0.3617605985371295</v>
      </c>
      <c r="L23" s="386">
        <v>306.90199999999999</v>
      </c>
      <c r="M23" s="388">
        <f t="shared" si="48"/>
        <v>307.11599999999999</v>
      </c>
      <c r="N23" s="381">
        <v>1</v>
      </c>
      <c r="O23" s="235">
        <v>1</v>
      </c>
      <c r="P23" s="235">
        <v>1</v>
      </c>
      <c r="Q23" s="236">
        <v>1</v>
      </c>
      <c r="R23" s="123">
        <f t="shared" si="7"/>
        <v>306.90199999999999</v>
      </c>
      <c r="S23" s="124">
        <f t="shared" si="8"/>
        <v>0</v>
      </c>
      <c r="T23" s="644">
        <f t="shared" si="9"/>
        <v>0.214</v>
      </c>
      <c r="U23" s="647">
        <f t="shared" si="10"/>
        <v>306.90199999999999</v>
      </c>
      <c r="V23" s="388">
        <f t="shared" si="11"/>
        <v>307.11599999999999</v>
      </c>
      <c r="W23" s="237">
        <v>551.01</v>
      </c>
      <c r="X23" s="237">
        <v>82.22</v>
      </c>
      <c r="Y23" s="237">
        <v>622.49</v>
      </c>
      <c r="Z23" s="237">
        <v>569.5</v>
      </c>
      <c r="AA23" s="238">
        <v>997.05</v>
      </c>
      <c r="AB23" s="234">
        <v>229.887</v>
      </c>
      <c r="AC23" s="239">
        <v>77.015000000000001</v>
      </c>
      <c r="AD23" s="240">
        <v>0.214</v>
      </c>
      <c r="AE23" s="242">
        <f t="shared" si="42"/>
        <v>306.90199999999999</v>
      </c>
      <c r="AF23" s="250">
        <f t="shared" si="43"/>
        <v>307.11599999999999</v>
      </c>
      <c r="AG23" s="242">
        <v>267.33199999999999</v>
      </c>
      <c r="AH23" s="243">
        <v>88.427000000000007</v>
      </c>
      <c r="AI23" s="244">
        <v>0.17199999999999999</v>
      </c>
      <c r="AJ23" s="417"/>
      <c r="AK23" s="91">
        <f>'SEP_27&amp;28_03_OLEO'!E17</f>
        <v>62.88</v>
      </c>
      <c r="AL23" s="94">
        <f>'SEP_27&amp;28_03_OLEO'!D17</f>
        <v>84.322739999999996</v>
      </c>
      <c r="AM23" s="91">
        <f>'SEP_27&amp;28_03_OLEO'!I17</f>
        <v>320.66500000000002</v>
      </c>
      <c r="AN23" s="167">
        <v>768.13</v>
      </c>
      <c r="AO23" s="93">
        <f t="shared" si="49"/>
        <v>246.31240645</v>
      </c>
      <c r="AP23" s="165">
        <f>'SEP_27&amp;28_03_OLEO'!K17</f>
        <v>268.96499999999997</v>
      </c>
      <c r="AQ23" s="92">
        <f>'SEP_27&amp;28_03_GAS'!I17</f>
        <v>63.354199999999999</v>
      </c>
      <c r="AR23" s="92">
        <f>'SEP_27&amp;28_03_AGUA'!J17</f>
        <v>1.7769999999999999</v>
      </c>
      <c r="AS23" s="92">
        <f t="shared" si="12"/>
        <v>309.66660645000002</v>
      </c>
      <c r="AT23" s="93">
        <f t="shared" si="13"/>
        <v>311.44360645</v>
      </c>
      <c r="AU23" s="281">
        <f t="shared" si="44"/>
        <v>-0.89276867198995191</v>
      </c>
      <c r="AV23" s="282">
        <f t="shared" si="14"/>
        <v>-1.3895313181504609</v>
      </c>
      <c r="AW23" s="145">
        <f t="shared" si="15"/>
        <v>72.69</v>
      </c>
      <c r="AX23" s="92">
        <f t="shared" si="16"/>
        <v>0.84030000000000005</v>
      </c>
      <c r="AY23" s="93">
        <f t="shared" si="17"/>
        <v>0.25</v>
      </c>
      <c r="AZ23" s="545">
        <f>'SEP_27&amp;28_03_OLEO'!J17*(1-'3-Dados_Totalizados_27&amp;28_03'!AY23/100)</f>
        <v>310.84793250000001</v>
      </c>
      <c r="BA23" s="153">
        <f t="shared" si="45"/>
        <v>261.20551767975002</v>
      </c>
      <c r="BB23" s="544">
        <v>861.88</v>
      </c>
      <c r="BC23" s="282">
        <f t="shared" si="18"/>
        <v>225.12781157782297</v>
      </c>
      <c r="BD23" s="545">
        <f t="shared" si="19"/>
        <v>18987.029080141026</v>
      </c>
      <c r="BE23" s="153">
        <f>('SEP_27&amp;28_03_GAS'!H17+'3-Dados_Totalizados_27&amp;28_03'!BD23)/1000</f>
        <v>95.669129080141033</v>
      </c>
      <c r="BF23" s="282">
        <f t="shared" si="20"/>
        <v>83.596641681518037</v>
      </c>
      <c r="BG23" s="559">
        <f>'SEP_27&amp;28_03_OLEO'!J19*(AY23/100)</f>
        <v>0.77938249999999998</v>
      </c>
      <c r="BH23" s="153">
        <f>'SEP_27&amp;28_03_AGUA'!I17+'3-Dados_Totalizados_27&amp;28_03'!BG23</f>
        <v>2.5603824999999998</v>
      </c>
      <c r="BI23" s="436">
        <f t="shared" si="21"/>
        <v>2.5493626137200001</v>
      </c>
      <c r="BJ23" s="548">
        <f t="shared" si="22"/>
        <v>308.72445325934098</v>
      </c>
      <c r="BK23" s="546">
        <f t="shared" si="23"/>
        <v>311.27381587306098</v>
      </c>
      <c r="BL23" s="111"/>
      <c r="BM23" s="176" t="e">
        <f>(AB23-#REF!)/#REF!</f>
        <v>#REF!</v>
      </c>
      <c r="BN23" s="177">
        <f t="shared" si="0"/>
        <v>-7.8730934031924618E-2</v>
      </c>
      <c r="BO23" s="177">
        <f t="shared" si="1"/>
        <v>-0.91605744947842715</v>
      </c>
      <c r="BP23" s="176">
        <f t="shared" si="2"/>
        <v>2.3454643587434956E-2</v>
      </c>
      <c r="BQ23" s="177">
        <f t="shared" si="3"/>
        <v>-7.5699749227092578E-2</v>
      </c>
      <c r="BR23" s="178">
        <f t="shared" si="4"/>
        <v>-0.93282253725761677</v>
      </c>
      <c r="BS23" s="111"/>
      <c r="BT23" s="111"/>
      <c r="BU23" s="91">
        <f t="shared" si="24"/>
        <v>24.598677112230362</v>
      </c>
      <c r="BV23" s="761">
        <f t="shared" si="25"/>
        <v>-6.126482320249977</v>
      </c>
      <c r="BW23" s="762">
        <f t="shared" si="26"/>
        <v>-100</v>
      </c>
      <c r="BX23" s="761">
        <f t="shared" si="27"/>
        <v>63.354199999999999</v>
      </c>
      <c r="BY23" s="762">
        <f t="shared" si="28"/>
        <v>-87.957231288688803</v>
      </c>
      <c r="BZ23" s="761">
        <f t="shared" si="29"/>
        <v>1.5629999999999999</v>
      </c>
      <c r="CA23" s="763">
        <f t="shared" si="30"/>
        <v>-0.89276867198995191</v>
      </c>
      <c r="CB23" s="764">
        <f t="shared" si="31"/>
        <v>2.7646064500000307</v>
      </c>
      <c r="CC23" s="763">
        <f t="shared" si="32"/>
        <v>-1.3895313181504609</v>
      </c>
      <c r="CD23" s="93">
        <f t="shared" si="5"/>
        <v>4.3276064500000189</v>
      </c>
      <c r="CE23" s="169" t="str">
        <f t="shared" si="33"/>
        <v>OK</v>
      </c>
      <c r="CF23" s="170" t="str">
        <f t="shared" si="34"/>
        <v>OK</v>
      </c>
      <c r="CH23" s="95">
        <f t="shared" si="35"/>
        <v>0.13499999999999091</v>
      </c>
      <c r="CI23" s="76">
        <f t="shared" si="36"/>
        <v>0</v>
      </c>
      <c r="CJ23" s="33">
        <f t="shared" si="37"/>
        <v>1.1999999999999983E-2</v>
      </c>
      <c r="CK23" s="76">
        <f t="shared" si="46"/>
        <v>0.13499999999999091</v>
      </c>
      <c r="CL23" s="97">
        <f t="shared" si="38"/>
        <v>0.14699999999999089</v>
      </c>
      <c r="CM23" s="98">
        <f t="shared" si="39"/>
        <v>-0.46395051999999737</v>
      </c>
      <c r="CN23" s="76">
        <f t="shared" si="40"/>
        <v>-0.19969999999999999</v>
      </c>
      <c r="CO23" s="76">
        <f t="shared" si="41"/>
        <v>-0.17800000000000016</v>
      </c>
      <c r="CP23" s="76">
        <f t="shared" si="47"/>
        <v>-0.66365051999999736</v>
      </c>
      <c r="CQ23" s="47">
        <f t="shared" si="50"/>
        <v>-0.84165051999999752</v>
      </c>
      <c r="CR23" s="75" t="s">
        <v>12</v>
      </c>
      <c r="CS23" s="96"/>
    </row>
    <row r="24" spans="1:97" s="418" customFormat="1" ht="21.75" customHeight="1" x14ac:dyDescent="0.25">
      <c r="A24" s="180">
        <v>46109.083332523151</v>
      </c>
      <c r="B24" s="180">
        <v>46109.125000752312</v>
      </c>
      <c r="C24" s="90">
        <f t="shared" si="6"/>
        <v>1.0000374998780899</v>
      </c>
      <c r="D24" s="258" cm="1">
        <f t="array" ref="D24">_xll.PITimeDat('3-Dados_Totalizados_27&amp;28_03'!$D$7,'3-Dados_Totalizados_27&amp;28_03'!B24,"","interpolated")</f>
        <v>2138.5686808378373</v>
      </c>
      <c r="E24" s="258" cm="1">
        <f t="array" ref="E24">_xll.PITimeDat($E$7,B24,"","interpolated")</f>
        <v>3.6167305490384535E-2</v>
      </c>
      <c r="F24" s="258" cm="1">
        <f t="array" ref="F24">_xll.PITimeDat($F$7,B24,"","interpolated")</f>
        <v>3.6167331161518393E-2</v>
      </c>
      <c r="G24" s="258" cm="1">
        <f t="array" ref="G24">_xll.PITimeDat($G$7,B24,"","interpolated")</f>
        <v>14.561449824037368</v>
      </c>
      <c r="H24" s="416">
        <v>307.02800000000002</v>
      </c>
      <c r="I24" s="386">
        <v>0</v>
      </c>
      <c r="J24" s="386">
        <v>0.2</v>
      </c>
      <c r="K24" s="386" cm="1">
        <f t="array" ref="K24">_xll.PITimeDat($K$7,B24,"","interpolated")</f>
        <v>0.36169221728657763</v>
      </c>
      <c r="L24" s="386">
        <v>307.02800000000002</v>
      </c>
      <c r="M24" s="388">
        <f t="shared" si="48"/>
        <v>307.22800000000001</v>
      </c>
      <c r="N24" s="381">
        <v>1</v>
      </c>
      <c r="O24" s="235">
        <v>1</v>
      </c>
      <c r="P24" s="235">
        <v>1</v>
      </c>
      <c r="Q24" s="236">
        <v>1</v>
      </c>
      <c r="R24" s="123">
        <f t="shared" si="7"/>
        <v>307.02800000000002</v>
      </c>
      <c r="S24" s="124">
        <f t="shared" si="8"/>
        <v>0</v>
      </c>
      <c r="T24" s="644">
        <f t="shared" si="9"/>
        <v>0.2</v>
      </c>
      <c r="U24" s="647">
        <f t="shared" si="10"/>
        <v>307.02800000000002</v>
      </c>
      <c r="V24" s="388">
        <f t="shared" si="11"/>
        <v>307.22800000000001</v>
      </c>
      <c r="W24" s="237">
        <v>550.80999999999995</v>
      </c>
      <c r="X24" s="237">
        <v>82.25</v>
      </c>
      <c r="Y24" s="237">
        <v>622.45000000000005</v>
      </c>
      <c r="Z24" s="237">
        <v>569.49</v>
      </c>
      <c r="AA24" s="238">
        <v>997.05</v>
      </c>
      <c r="AB24" s="234">
        <v>229.98099999999999</v>
      </c>
      <c r="AC24" s="239">
        <v>77.046999999999997</v>
      </c>
      <c r="AD24" s="240">
        <v>0.2</v>
      </c>
      <c r="AE24" s="242">
        <f t="shared" si="42"/>
        <v>307.02800000000002</v>
      </c>
      <c r="AF24" s="250">
        <f t="shared" si="43"/>
        <v>307.22800000000001</v>
      </c>
      <c r="AG24" s="242">
        <v>267.44200000000001</v>
      </c>
      <c r="AH24" s="243">
        <v>88.462999999999994</v>
      </c>
      <c r="AI24" s="244">
        <v>0.16</v>
      </c>
      <c r="AJ24" s="417"/>
      <c r="AK24" s="91">
        <f>'SEP_27&amp;28_03_OLEO'!E18</f>
        <v>62.87</v>
      </c>
      <c r="AL24" s="94">
        <f>'SEP_27&amp;28_03_OLEO'!D18</f>
        <v>84.325810000000004</v>
      </c>
      <c r="AM24" s="91">
        <f>'SEP_27&amp;28_03_OLEO'!I18</f>
        <v>320.62799999999999</v>
      </c>
      <c r="AN24" s="167">
        <v>768.13</v>
      </c>
      <c r="AO24" s="93">
        <f t="shared" si="49"/>
        <v>246.28398563999997</v>
      </c>
      <c r="AP24" s="165">
        <f>'SEP_27&amp;28_03_OLEO'!K18</f>
        <v>268.93700000000001</v>
      </c>
      <c r="AQ24" s="92">
        <f>'SEP_27&amp;28_03_GAS'!I18</f>
        <v>63.411799999999999</v>
      </c>
      <c r="AR24" s="92">
        <f>'SEP_27&amp;28_03_AGUA'!J18</f>
        <v>1.64</v>
      </c>
      <c r="AS24" s="92">
        <f t="shared" si="12"/>
        <v>309.69578563999994</v>
      </c>
      <c r="AT24" s="93">
        <f t="shared" si="13"/>
        <v>311.33578563999993</v>
      </c>
      <c r="AU24" s="281">
        <f t="shared" si="44"/>
        <v>-0.8614213572479934</v>
      </c>
      <c r="AV24" s="282">
        <f t="shared" si="14"/>
        <v>-1.3194068364340783</v>
      </c>
      <c r="AW24" s="145">
        <f t="shared" si="15"/>
        <v>72.69</v>
      </c>
      <c r="AX24" s="92">
        <f t="shared" si="16"/>
        <v>0.84030000000000005</v>
      </c>
      <c r="AY24" s="93">
        <f t="shared" si="17"/>
        <v>0.25</v>
      </c>
      <c r="AZ24" s="545">
        <f>'SEP_27&amp;28_03_OLEO'!J18*(1-'3-Dados_Totalizados_27&amp;28_03'!AY24/100)</f>
        <v>310.81501500000002</v>
      </c>
      <c r="BA24" s="153">
        <f t="shared" si="45"/>
        <v>261.17785710450005</v>
      </c>
      <c r="BB24" s="544">
        <v>861.88</v>
      </c>
      <c r="BC24" s="282">
        <f t="shared" si="18"/>
        <v>225.10397148122649</v>
      </c>
      <c r="BD24" s="545">
        <f t="shared" si="19"/>
        <v>18985.018432926106</v>
      </c>
      <c r="BE24" s="153">
        <f>('SEP_27&amp;28_03_GAS'!H18+'3-Dados_Totalizados_27&amp;28_03'!BD24)/1000</f>
        <v>95.737018432926106</v>
      </c>
      <c r="BF24" s="282">
        <f t="shared" si="20"/>
        <v>83.655964076875151</v>
      </c>
      <c r="BG24" s="559">
        <f>'SEP_27&amp;28_03_OLEO'!J20*(AY24/100)</f>
        <v>0.77969500000000003</v>
      </c>
      <c r="BH24" s="153">
        <f>'SEP_27&amp;28_03_AGUA'!I18+'3-Dados_Totalizados_27&amp;28_03'!BG24</f>
        <v>2.422695</v>
      </c>
      <c r="BI24" s="436">
        <f t="shared" si="21"/>
        <v>2.4122677207200001</v>
      </c>
      <c r="BJ24" s="548">
        <f t="shared" si="22"/>
        <v>308.75993555810163</v>
      </c>
      <c r="BK24" s="546">
        <f t="shared" si="23"/>
        <v>311.17220327882166</v>
      </c>
      <c r="BL24" s="111"/>
      <c r="BM24" s="176" t="e">
        <f>(AB24-#REF!)/#REF!</f>
        <v>#REF!</v>
      </c>
      <c r="BN24" s="177">
        <f t="shared" si="0"/>
        <v>-7.9001708363576867E-2</v>
      </c>
      <c r="BO24" s="177">
        <f t="shared" si="1"/>
        <v>-0.91709046293572039</v>
      </c>
      <c r="BP24" s="176">
        <f t="shared" si="2"/>
        <v>2.3984203580449809E-2</v>
      </c>
      <c r="BQ24" s="177">
        <f t="shared" si="3"/>
        <v>-7.5979162000144498E-2</v>
      </c>
      <c r="BR24" s="178">
        <f t="shared" si="4"/>
        <v>-0.93395784446659602</v>
      </c>
      <c r="BS24" s="111"/>
      <c r="BT24" s="111"/>
      <c r="BU24" s="91">
        <f t="shared" si="24"/>
        <v>24.664216068352584</v>
      </c>
      <c r="BV24" s="761">
        <f t="shared" si="25"/>
        <v>-6.2641428954999583</v>
      </c>
      <c r="BW24" s="762">
        <f t="shared" si="26"/>
        <v>-100</v>
      </c>
      <c r="BX24" s="761">
        <f t="shared" si="27"/>
        <v>63.411799999999999</v>
      </c>
      <c r="BY24" s="762">
        <f t="shared" si="28"/>
        <v>-87.804878048780495</v>
      </c>
      <c r="BZ24" s="761">
        <f t="shared" si="29"/>
        <v>1.44</v>
      </c>
      <c r="CA24" s="763">
        <f t="shared" si="30"/>
        <v>-0.8614213572479934</v>
      </c>
      <c r="CB24" s="764">
        <f t="shared" si="31"/>
        <v>2.66778563999992</v>
      </c>
      <c r="CC24" s="763">
        <f t="shared" si="32"/>
        <v>-1.3194068364340783</v>
      </c>
      <c r="CD24" s="93">
        <f t="shared" si="5"/>
        <v>4.1077856399999177</v>
      </c>
      <c r="CE24" s="169" t="str">
        <f t="shared" si="33"/>
        <v>OK</v>
      </c>
      <c r="CF24" s="170" t="str">
        <f t="shared" si="34"/>
        <v>OK</v>
      </c>
      <c r="CH24" s="95">
        <f t="shared" si="35"/>
        <v>0.1260000000000332</v>
      </c>
      <c r="CI24" s="76">
        <f t="shared" si="36"/>
        <v>0</v>
      </c>
      <c r="CJ24" s="33">
        <f t="shared" si="37"/>
        <v>-1.3999999999999985E-2</v>
      </c>
      <c r="CK24" s="76">
        <f t="shared" si="46"/>
        <v>0.1260000000000332</v>
      </c>
      <c r="CL24" s="97">
        <f t="shared" si="38"/>
        <v>0.11200000000003321</v>
      </c>
      <c r="CM24" s="98">
        <f t="shared" si="39"/>
        <v>-2.8420810000028496E-2</v>
      </c>
      <c r="CN24" s="76">
        <f t="shared" si="40"/>
        <v>5.7600000000000762E-2</v>
      </c>
      <c r="CO24" s="76">
        <f t="shared" si="41"/>
        <v>-0.13700000000000001</v>
      </c>
      <c r="CP24" s="76">
        <f t="shared" si="47"/>
        <v>2.9179189999972266E-2</v>
      </c>
      <c r="CQ24" s="47">
        <f t="shared" si="50"/>
        <v>-0.10782081000002774</v>
      </c>
      <c r="CR24" s="75" t="s">
        <v>12</v>
      </c>
      <c r="CS24" s="96"/>
    </row>
    <row r="25" spans="1:97" s="418" customFormat="1" ht="21.75" customHeight="1" x14ac:dyDescent="0.25">
      <c r="A25" s="180">
        <v>46109.124999131942</v>
      </c>
      <c r="B25" s="180">
        <v>46109.166667476849</v>
      </c>
      <c r="C25" s="90">
        <f t="shared" si="6"/>
        <v>1.0000402777804993</v>
      </c>
      <c r="D25" s="258" cm="1">
        <f t="array" ref="D25">_xll.PITimeDat('3-Dados_Totalizados_27&amp;28_03'!$D$7,'3-Dados_Totalizados_27&amp;28_03'!B25,"","interpolated")</f>
        <v>2140.9347119970425</v>
      </c>
      <c r="E25" s="258" cm="1">
        <f t="array" ref="E25">_xll.PITimeDat($E$7,B25,"","interpolated")</f>
        <v>3.673127917418182E-2</v>
      </c>
      <c r="F25" s="258" cm="1">
        <f t="array" ref="F25">_xll.PITimeDat($F$7,B25,"","interpolated")</f>
        <v>3.673085775674894E-2</v>
      </c>
      <c r="G25" s="258" cm="1">
        <f t="array" ref="G25">_xll.PITimeDat($G$7,B25,"","interpolated")</f>
        <v>14.56998074241986</v>
      </c>
      <c r="H25" s="416">
        <v>307.08300000000003</v>
      </c>
      <c r="I25" s="386">
        <v>0</v>
      </c>
      <c r="J25" s="386">
        <v>0.20100000000000001</v>
      </c>
      <c r="K25" s="386" cm="1">
        <f t="array" ref="K25">_xll.PITimeDat($K$7,B25,"","interpolated")</f>
        <v>0.36172542503742056</v>
      </c>
      <c r="L25" s="386">
        <v>307.08300000000003</v>
      </c>
      <c r="M25" s="388">
        <f t="shared" si="48"/>
        <v>307.28400000000005</v>
      </c>
      <c r="N25" s="381">
        <v>1</v>
      </c>
      <c r="O25" s="235">
        <v>1</v>
      </c>
      <c r="P25" s="235">
        <v>1</v>
      </c>
      <c r="Q25" s="236">
        <v>1</v>
      </c>
      <c r="R25" s="123">
        <f t="shared" si="7"/>
        <v>307.08300000000003</v>
      </c>
      <c r="S25" s="124">
        <f t="shared" si="8"/>
        <v>0</v>
      </c>
      <c r="T25" s="644">
        <f t="shared" si="9"/>
        <v>0.20100000000000001</v>
      </c>
      <c r="U25" s="647">
        <f t="shared" si="10"/>
        <v>307.08300000000003</v>
      </c>
      <c r="V25" s="388">
        <f t="shared" si="11"/>
        <v>307.28400000000005</v>
      </c>
      <c r="W25" s="237">
        <v>550.66</v>
      </c>
      <c r="X25" s="237">
        <v>82.25</v>
      </c>
      <c r="Y25" s="237">
        <v>622.42999999999995</v>
      </c>
      <c r="Z25" s="237">
        <v>569.48</v>
      </c>
      <c r="AA25" s="238">
        <v>997.05</v>
      </c>
      <c r="AB25" s="234">
        <v>230.023</v>
      </c>
      <c r="AC25" s="239">
        <v>77.061000000000007</v>
      </c>
      <c r="AD25" s="240">
        <v>0.20100000000000001</v>
      </c>
      <c r="AE25" s="242">
        <f t="shared" si="42"/>
        <v>307.084</v>
      </c>
      <c r="AF25" s="250">
        <f t="shared" si="43"/>
        <v>307.28500000000003</v>
      </c>
      <c r="AG25" s="242">
        <v>267.49</v>
      </c>
      <c r="AH25" s="243">
        <v>88.478999999999999</v>
      </c>
      <c r="AI25" s="244">
        <v>0.161</v>
      </c>
      <c r="AJ25" s="417"/>
      <c r="AK25" s="91">
        <f>'SEP_27&amp;28_03_OLEO'!E19</f>
        <v>62.89</v>
      </c>
      <c r="AL25" s="94">
        <f>'SEP_27&amp;28_03_OLEO'!D19</f>
        <v>84.312870000000004</v>
      </c>
      <c r="AM25" s="91">
        <f>'SEP_27&amp;28_03_OLEO'!I19</f>
        <v>320.798</v>
      </c>
      <c r="AN25" s="167">
        <v>768.13</v>
      </c>
      <c r="AO25" s="93">
        <f t="shared" si="49"/>
        <v>246.41456774</v>
      </c>
      <c r="AP25" s="165">
        <f>'SEP_27&amp;28_03_OLEO'!K19</f>
        <v>269.07400000000001</v>
      </c>
      <c r="AQ25" s="92">
        <f>'SEP_27&amp;28_03_GAS'!I19</f>
        <v>63.464500000000001</v>
      </c>
      <c r="AR25" s="92">
        <f>'SEP_27&amp;28_03_AGUA'!J19</f>
        <v>1.6719999999999999</v>
      </c>
      <c r="AS25" s="92">
        <f t="shared" si="12"/>
        <v>309.87906773999998</v>
      </c>
      <c r="AT25" s="93">
        <f t="shared" si="13"/>
        <v>311.55106774000001</v>
      </c>
      <c r="AU25" s="281">
        <f t="shared" si="44"/>
        <v>-0.90230933002094504</v>
      </c>
      <c r="AV25" s="282">
        <f t="shared" si="14"/>
        <v>-1.3696206438813974</v>
      </c>
      <c r="AW25" s="145">
        <f t="shared" si="15"/>
        <v>72.69</v>
      </c>
      <c r="AX25" s="92">
        <f t="shared" si="16"/>
        <v>0.84030000000000005</v>
      </c>
      <c r="AY25" s="93">
        <f t="shared" si="17"/>
        <v>0.2</v>
      </c>
      <c r="AZ25" s="545">
        <f>'SEP_27&amp;28_03_OLEO'!J19*(1-'3-Dados_Totalizados_27&amp;28_03'!AY25/100)</f>
        <v>311.12949399999997</v>
      </c>
      <c r="BA25" s="153">
        <f t="shared" si="45"/>
        <v>261.44211380819996</v>
      </c>
      <c r="BB25" s="544">
        <v>861.88</v>
      </c>
      <c r="BC25" s="282">
        <f t="shared" si="18"/>
        <v>225.33172904901139</v>
      </c>
      <c r="BD25" s="545">
        <f t="shared" si="19"/>
        <v>19004.227252718054</v>
      </c>
      <c r="BE25" s="153">
        <f>('SEP_27&amp;28_03_GAS'!H19+'3-Dados_Totalizados_27&amp;28_03'!BD25)/1000</f>
        <v>95.819927252718045</v>
      </c>
      <c r="BF25" s="282">
        <f t="shared" si="20"/>
        <v>83.72841063269756</v>
      </c>
      <c r="BG25" s="559">
        <f>'SEP_27&amp;28_03_OLEO'!J21*(AY25/100)</f>
        <v>0.62364800000000009</v>
      </c>
      <c r="BH25" s="153">
        <f>'SEP_27&amp;28_03_AGUA'!I19+'3-Dados_Totalizados_27&amp;28_03'!BG25</f>
        <v>2.2976480000000001</v>
      </c>
      <c r="BI25" s="436">
        <f t="shared" si="21"/>
        <v>2.2877589230080004</v>
      </c>
      <c r="BJ25" s="548">
        <f t="shared" si="22"/>
        <v>309.06013968170896</v>
      </c>
      <c r="BK25" s="546">
        <f t="shared" si="23"/>
        <v>311.34789860471699</v>
      </c>
      <c r="BL25" s="111"/>
      <c r="BM25" s="176" t="e">
        <f>(AB25-#REF!)/#REF!</f>
        <v>#REF!</v>
      </c>
      <c r="BN25" s="177">
        <f t="shared" si="0"/>
        <v>-7.9631400886687811E-2</v>
      </c>
      <c r="BO25" s="177">
        <f t="shared" si="1"/>
        <v>-0.9121410923246579</v>
      </c>
      <c r="BP25" s="176">
        <f t="shared" si="2"/>
        <v>2.313279258534804E-2</v>
      </c>
      <c r="BQ25" s="177">
        <f t="shared" si="3"/>
        <v>-7.661169720320167E-2</v>
      </c>
      <c r="BR25" s="178">
        <f t="shared" si="4"/>
        <v>-0.92992834411537362</v>
      </c>
      <c r="BS25" s="111"/>
      <c r="BT25" s="111"/>
      <c r="BU25" s="91">
        <f t="shared" si="24"/>
        <v>24.620473057426253</v>
      </c>
      <c r="BV25" s="761">
        <f t="shared" si="25"/>
        <v>-6.0478861918000462</v>
      </c>
      <c r="BW25" s="762">
        <f t="shared" si="26"/>
        <v>-100</v>
      </c>
      <c r="BX25" s="761">
        <f t="shared" si="27"/>
        <v>63.464500000000001</v>
      </c>
      <c r="BY25" s="762">
        <f t="shared" si="28"/>
        <v>-87.97846889952153</v>
      </c>
      <c r="BZ25" s="761">
        <f t="shared" si="29"/>
        <v>1.4709999999999999</v>
      </c>
      <c r="CA25" s="763">
        <f t="shared" si="30"/>
        <v>-0.90230933002094504</v>
      </c>
      <c r="CB25" s="764">
        <f t="shared" si="31"/>
        <v>2.7960677399999554</v>
      </c>
      <c r="CC25" s="763">
        <f t="shared" si="32"/>
        <v>-1.3696206438813974</v>
      </c>
      <c r="CD25" s="93">
        <f t="shared" si="5"/>
        <v>4.267067739999959</v>
      </c>
      <c r="CE25" s="169" t="str">
        <f t="shared" si="33"/>
        <v>OK</v>
      </c>
      <c r="CF25" s="170" t="str">
        <f t="shared" si="34"/>
        <v>OK</v>
      </c>
      <c r="CH25" s="95">
        <f t="shared" si="35"/>
        <v>5.5000000000006821E-2</v>
      </c>
      <c r="CI25" s="76">
        <f t="shared" si="36"/>
        <v>0</v>
      </c>
      <c r="CJ25" s="33">
        <f t="shared" si="37"/>
        <v>1.0000000000000009E-3</v>
      </c>
      <c r="CK25" s="76">
        <f t="shared" si="46"/>
        <v>5.5000000000006821E-2</v>
      </c>
      <c r="CL25" s="97">
        <f t="shared" si="38"/>
        <v>5.6000000000006822E-2</v>
      </c>
      <c r="CM25" s="98">
        <f t="shared" si="39"/>
        <v>0.13058210000002646</v>
      </c>
      <c r="CN25" s="76">
        <f t="shared" si="40"/>
        <v>5.2700000000001523E-2</v>
      </c>
      <c r="CO25" s="76">
        <f t="shared" si="41"/>
        <v>3.2000000000000028E-2</v>
      </c>
      <c r="CP25" s="76">
        <f t="shared" si="47"/>
        <v>0.18328210000002798</v>
      </c>
      <c r="CQ25" s="47">
        <f t="shared" si="50"/>
        <v>0.21528210000002801</v>
      </c>
      <c r="CR25" s="75" t="s">
        <v>12</v>
      </c>
      <c r="CS25" s="96"/>
    </row>
    <row r="26" spans="1:97" s="418" customFormat="1" ht="21.75" customHeight="1" x14ac:dyDescent="0.25">
      <c r="A26" s="180">
        <v>46109.16666574074</v>
      </c>
      <c r="B26" s="180">
        <v>46109.208334201387</v>
      </c>
      <c r="C26" s="90">
        <f t="shared" si="6"/>
        <v>1.0000430555082858</v>
      </c>
      <c r="D26" s="258" cm="1">
        <f t="array" ref="D26">_xll.PITimeDat('3-Dados_Totalizados_27&amp;28_03'!$D$7,'3-Dados_Totalizados_27&amp;28_03'!B26,"","interpolated")</f>
        <v>2138.863247400926</v>
      </c>
      <c r="E26" s="258" cm="1">
        <f t="array" ref="E26">_xll.PITimeDat($E$7,B26,"","interpolated")</f>
        <v>3.8101394393412709E-2</v>
      </c>
      <c r="F26" s="258" cm="1">
        <f t="array" ref="F26">_xll.PITimeDat($F$7,B26,"","interpolated")</f>
        <v>3.8101428462711757E-2</v>
      </c>
      <c r="G26" s="258" cm="1">
        <f t="array" ref="G26">_xll.PITimeDat($G$7,B26,"","interpolated")</f>
        <v>14.563018960718296</v>
      </c>
      <c r="H26" s="416">
        <v>307.19</v>
      </c>
      <c r="I26" s="386">
        <v>0</v>
      </c>
      <c r="J26" s="386">
        <v>0.19800000000000001</v>
      </c>
      <c r="K26" s="386" cm="1">
        <f t="array" ref="K26">_xll.PITimeDat($K$7,B26,"","interpolated")</f>
        <v>0.36178284058623911</v>
      </c>
      <c r="L26" s="386">
        <v>307.19</v>
      </c>
      <c r="M26" s="388">
        <f t="shared" si="48"/>
        <v>307.38799999999998</v>
      </c>
      <c r="N26" s="381">
        <v>1</v>
      </c>
      <c r="O26" s="235">
        <v>1</v>
      </c>
      <c r="P26" s="235">
        <v>1</v>
      </c>
      <c r="Q26" s="236">
        <v>1</v>
      </c>
      <c r="R26" s="123">
        <f t="shared" si="7"/>
        <v>307.19</v>
      </c>
      <c r="S26" s="124">
        <f t="shared" si="8"/>
        <v>0</v>
      </c>
      <c r="T26" s="644">
        <f t="shared" si="9"/>
        <v>0.19800000000000001</v>
      </c>
      <c r="U26" s="647">
        <f t="shared" si="10"/>
        <v>307.19</v>
      </c>
      <c r="V26" s="388">
        <f t="shared" si="11"/>
        <v>307.38799999999998</v>
      </c>
      <c r="W26" s="237">
        <v>550.52</v>
      </c>
      <c r="X26" s="237">
        <v>82.27</v>
      </c>
      <c r="Y26" s="237">
        <v>622.4</v>
      </c>
      <c r="Z26" s="237">
        <v>569.47</v>
      </c>
      <c r="AA26" s="238">
        <v>997.05</v>
      </c>
      <c r="AB26" s="234">
        <v>230.10300000000001</v>
      </c>
      <c r="AC26" s="239">
        <v>77.087999999999994</v>
      </c>
      <c r="AD26" s="240">
        <v>0.19800000000000001</v>
      </c>
      <c r="AE26" s="242">
        <f t="shared" si="42"/>
        <v>307.19100000000003</v>
      </c>
      <c r="AF26" s="250">
        <f t="shared" si="43"/>
        <v>307.38900000000001</v>
      </c>
      <c r="AG26" s="242">
        <v>267.584</v>
      </c>
      <c r="AH26" s="243">
        <v>88.51</v>
      </c>
      <c r="AI26" s="244">
        <v>0.159</v>
      </c>
      <c r="AJ26" s="417"/>
      <c r="AK26" s="91">
        <f>'SEP_27&amp;28_03_OLEO'!E20</f>
        <v>62.91</v>
      </c>
      <c r="AL26" s="94">
        <f>'SEP_27&amp;28_03_OLEO'!D20</f>
        <v>84.32893</v>
      </c>
      <c r="AM26" s="91">
        <f>'SEP_27&amp;28_03_OLEO'!I20</f>
        <v>320.93099999999998</v>
      </c>
      <c r="AN26" s="167">
        <v>768.13</v>
      </c>
      <c r="AO26" s="93">
        <f t="shared" si="49"/>
        <v>246.51672902999999</v>
      </c>
      <c r="AP26" s="165">
        <f>'SEP_27&amp;28_03_OLEO'!K20</f>
        <v>269.18099999999998</v>
      </c>
      <c r="AQ26" s="92">
        <f>'SEP_27&amp;28_03_GAS'!I20</f>
        <v>63.452100000000002</v>
      </c>
      <c r="AR26" s="92">
        <f>'SEP_27&amp;28_03_AGUA'!J20</f>
        <v>1.593</v>
      </c>
      <c r="AS26" s="92">
        <f t="shared" si="12"/>
        <v>309.96882902999999</v>
      </c>
      <c r="AT26" s="93">
        <f t="shared" si="13"/>
        <v>311.56182903000001</v>
      </c>
      <c r="AU26" s="281">
        <f t="shared" si="44"/>
        <v>-0.89648660437757766</v>
      </c>
      <c r="AV26" s="282">
        <f t="shared" si="14"/>
        <v>-1.3396471072835259</v>
      </c>
      <c r="AW26" s="145">
        <f t="shared" si="15"/>
        <v>72.69</v>
      </c>
      <c r="AX26" s="92">
        <f t="shared" si="16"/>
        <v>0.84030000000000005</v>
      </c>
      <c r="AY26" s="93">
        <f t="shared" si="17"/>
        <v>0.2</v>
      </c>
      <c r="AZ26" s="545">
        <f>'SEP_27&amp;28_03_OLEO'!J20*(1-'3-Dados_Totalizados_27&amp;28_03'!AY26/100)</f>
        <v>311.25424399999997</v>
      </c>
      <c r="BA26" s="153">
        <f t="shared" si="45"/>
        <v>261.54694123320002</v>
      </c>
      <c r="BB26" s="544">
        <v>861.88</v>
      </c>
      <c r="BC26" s="282">
        <f t="shared" si="18"/>
        <v>225.42207771007043</v>
      </c>
      <c r="BD26" s="545">
        <f t="shared" si="19"/>
        <v>19011.847158241308</v>
      </c>
      <c r="BE26" s="153">
        <f>('SEP_27&amp;28_03_GAS'!H20+'3-Dados_Totalizados_27&amp;28_03'!BD26)/1000</f>
        <v>95.812547158241301</v>
      </c>
      <c r="BF26" s="282">
        <f t="shared" si="20"/>
        <v>83.721961832342842</v>
      </c>
      <c r="BG26" s="559">
        <f>'SEP_27&amp;28_03_OLEO'!J22*(AY26/100)</f>
        <v>0.62303799999999998</v>
      </c>
      <c r="BH26" s="153">
        <f>'SEP_27&amp;28_03_AGUA'!I20+'3-Dados_Totalizados_27&amp;28_03'!BG26</f>
        <v>2.2190380000000003</v>
      </c>
      <c r="BI26" s="436">
        <f t="shared" si="21"/>
        <v>2.2094872604480003</v>
      </c>
      <c r="BJ26" s="548">
        <f t="shared" si="22"/>
        <v>309.14403954241328</v>
      </c>
      <c r="BK26" s="546">
        <f t="shared" si="23"/>
        <v>311.35352680286127</v>
      </c>
      <c r="BL26" s="111"/>
      <c r="BM26" s="176" t="e">
        <f>(AB26-#REF!)/#REF!</f>
        <v>#REF!</v>
      </c>
      <c r="BN26" s="177">
        <f t="shared" si="0"/>
        <v>-7.9238012191205798E-2</v>
      </c>
      <c r="BO26" s="177">
        <f t="shared" si="1"/>
        <v>-0.91038644868228247</v>
      </c>
      <c r="BP26" s="176">
        <f t="shared" si="2"/>
        <v>2.3082123378446378E-2</v>
      </c>
      <c r="BQ26" s="177">
        <f t="shared" si="3"/>
        <v>-7.6217023498818121E-2</v>
      </c>
      <c r="BR26" s="178">
        <f t="shared" si="4"/>
        <v>-0.92834732888756311</v>
      </c>
      <c r="BS26" s="111"/>
      <c r="BT26" s="111"/>
      <c r="BU26" s="91">
        <f t="shared" si="24"/>
        <v>24.612232690551529</v>
      </c>
      <c r="BV26" s="761">
        <f t="shared" si="25"/>
        <v>-6.0370587667999871</v>
      </c>
      <c r="BW26" s="762">
        <f t="shared" si="26"/>
        <v>-100</v>
      </c>
      <c r="BX26" s="761">
        <f t="shared" si="27"/>
        <v>63.452100000000002</v>
      </c>
      <c r="BY26" s="762">
        <f t="shared" si="28"/>
        <v>-87.570621468926561</v>
      </c>
      <c r="BZ26" s="761">
        <f t="shared" si="29"/>
        <v>1.395</v>
      </c>
      <c r="CA26" s="763">
        <f t="shared" si="30"/>
        <v>-0.89648660437757766</v>
      </c>
      <c r="CB26" s="764">
        <f t="shared" si="31"/>
        <v>2.7788290299999971</v>
      </c>
      <c r="CC26" s="763">
        <f t="shared" si="32"/>
        <v>-1.3396471072835259</v>
      </c>
      <c r="CD26" s="93">
        <f t="shared" si="5"/>
        <v>4.1738290300000358</v>
      </c>
      <c r="CE26" s="169" t="str">
        <f t="shared" si="33"/>
        <v>OK</v>
      </c>
      <c r="CF26" s="170" t="str">
        <f t="shared" si="34"/>
        <v>OK</v>
      </c>
      <c r="CH26" s="95">
        <f t="shared" si="35"/>
        <v>0.1069999999999709</v>
      </c>
      <c r="CI26" s="76">
        <f t="shared" si="36"/>
        <v>0</v>
      </c>
      <c r="CJ26" s="33">
        <f t="shared" si="37"/>
        <v>-3.0000000000000027E-3</v>
      </c>
      <c r="CK26" s="76">
        <f t="shared" si="46"/>
        <v>0.1069999999999709</v>
      </c>
      <c r="CL26" s="97">
        <f t="shared" si="38"/>
        <v>0.10399999999997089</v>
      </c>
      <c r="CM26" s="98">
        <f t="shared" si="39"/>
        <v>0.10216128999999796</v>
      </c>
      <c r="CN26" s="76">
        <f t="shared" si="40"/>
        <v>-1.2399999999999523E-2</v>
      </c>
      <c r="CO26" s="76">
        <f t="shared" si="41"/>
        <v>-7.8999999999999959E-2</v>
      </c>
      <c r="CP26" s="76">
        <f t="shared" si="47"/>
        <v>8.9761289999998439E-2</v>
      </c>
      <c r="CQ26" s="47">
        <f t="shared" si="50"/>
        <v>1.076128999999848E-2</v>
      </c>
      <c r="CR26" s="75" t="s">
        <v>12</v>
      </c>
      <c r="CS26" s="96"/>
    </row>
    <row r="27" spans="1:97" s="418" customFormat="1" ht="21.75" customHeight="1" x14ac:dyDescent="0.25">
      <c r="A27" s="180">
        <v>46109.208332349539</v>
      </c>
      <c r="B27" s="180">
        <v>46109.250000925924</v>
      </c>
      <c r="C27" s="90">
        <f t="shared" si="6"/>
        <v>1.0000458332360722</v>
      </c>
      <c r="D27" s="258" cm="1">
        <f t="array" ref="D27">_xll.PITimeDat('3-Dados_Totalizados_27&amp;28_03'!$D$7,'3-Dados_Totalizados_27&amp;28_03'!B27,"","interpolated")</f>
        <v>2136.2092266644072</v>
      </c>
      <c r="E27" s="258" cm="1">
        <f t="array" ref="E27">_xll.PITimeDat($E$7,B27,"","interpolated")</f>
        <v>3.3100579676261857E-2</v>
      </c>
      <c r="F27" s="258" cm="1">
        <f t="array" ref="F27">_xll.PITimeDat($F$7,B27,"","interpolated")</f>
        <v>3.3100570216473668E-2</v>
      </c>
      <c r="G27" s="258" cm="1">
        <f t="array" ref="G27">_xll.PITimeDat($G$7,B27,"","interpolated")</f>
        <v>14.554124650159309</v>
      </c>
      <c r="H27" s="416">
        <v>306.923</v>
      </c>
      <c r="I27" s="386">
        <v>0</v>
      </c>
      <c r="J27" s="386">
        <v>0.20499999999999999</v>
      </c>
      <c r="K27" s="386" cm="1">
        <f t="array" ref="K27">_xll.PITimeDat($K$7,B27,"","interpolated")</f>
        <v>0.36173431418398061</v>
      </c>
      <c r="L27" s="386">
        <v>306.923</v>
      </c>
      <c r="M27" s="388">
        <f t="shared" si="48"/>
        <v>307.12799999999999</v>
      </c>
      <c r="N27" s="381">
        <v>1</v>
      </c>
      <c r="O27" s="235">
        <v>1</v>
      </c>
      <c r="P27" s="235">
        <v>1</v>
      </c>
      <c r="Q27" s="236">
        <v>1</v>
      </c>
      <c r="R27" s="123">
        <f t="shared" si="7"/>
        <v>306.923</v>
      </c>
      <c r="S27" s="124">
        <f t="shared" si="8"/>
        <v>0</v>
      </c>
      <c r="T27" s="644">
        <f t="shared" si="9"/>
        <v>0.20499999999999999</v>
      </c>
      <c r="U27" s="647">
        <f t="shared" si="10"/>
        <v>306.923</v>
      </c>
      <c r="V27" s="388">
        <f t="shared" si="11"/>
        <v>307.12799999999999</v>
      </c>
      <c r="W27" s="237">
        <v>550.48</v>
      </c>
      <c r="X27" s="237">
        <v>82.27</v>
      </c>
      <c r="Y27" s="237">
        <v>622.39</v>
      </c>
      <c r="Z27" s="237">
        <v>569.46</v>
      </c>
      <c r="AA27" s="238">
        <v>997.05</v>
      </c>
      <c r="AB27" s="234">
        <v>229.90299999999999</v>
      </c>
      <c r="AC27" s="239">
        <v>77.02</v>
      </c>
      <c r="AD27" s="240">
        <v>0.20499999999999999</v>
      </c>
      <c r="AE27" s="242">
        <f t="shared" si="42"/>
        <v>306.923</v>
      </c>
      <c r="AF27" s="250">
        <f t="shared" si="43"/>
        <v>307.12799999999999</v>
      </c>
      <c r="AG27" s="242">
        <v>267.35000000000002</v>
      </c>
      <c r="AH27" s="243">
        <v>88.433000000000007</v>
      </c>
      <c r="AI27" s="244">
        <v>0.16500000000000001</v>
      </c>
      <c r="AJ27" s="417"/>
      <c r="AK27" s="91">
        <f>'SEP_27&amp;28_03_OLEO'!E21</f>
        <v>62.94</v>
      </c>
      <c r="AL27" s="94">
        <f>'SEP_27&amp;28_03_OLEO'!D21</f>
        <v>84.319580000000002</v>
      </c>
      <c r="AM27" s="91">
        <f>'SEP_27&amp;28_03_OLEO'!I21</f>
        <v>320.88299999999998</v>
      </c>
      <c r="AN27" s="167">
        <v>768.13</v>
      </c>
      <c r="AO27" s="93">
        <f t="shared" si="49"/>
        <v>246.47985878999998</v>
      </c>
      <c r="AP27" s="165">
        <f>'SEP_27&amp;28_03_OLEO'!K21</f>
        <v>269.13600000000002</v>
      </c>
      <c r="AQ27" s="92">
        <f>'SEP_27&amp;28_03_GAS'!I21</f>
        <v>63.483400000000003</v>
      </c>
      <c r="AR27" s="92">
        <f>'SEP_27&amp;28_03_AGUA'!J21</f>
        <v>1.6120000000000001</v>
      </c>
      <c r="AS27" s="92">
        <f t="shared" si="12"/>
        <v>309.96325879</v>
      </c>
      <c r="AT27" s="93">
        <f t="shared" si="13"/>
        <v>311.57525879000002</v>
      </c>
      <c r="AU27" s="281">
        <f t="shared" si="44"/>
        <v>-0.9808448917036916</v>
      </c>
      <c r="AV27" s="282">
        <f t="shared" si="14"/>
        <v>-1.4273465766412086</v>
      </c>
      <c r="AW27" s="145">
        <f t="shared" si="15"/>
        <v>72.69</v>
      </c>
      <c r="AX27" s="92">
        <f t="shared" si="16"/>
        <v>0.84030000000000005</v>
      </c>
      <c r="AY27" s="93">
        <f t="shared" si="17"/>
        <v>0.2</v>
      </c>
      <c r="AZ27" s="545">
        <f>'SEP_27&amp;28_03_OLEO'!J21*(1-'3-Dados_Totalizados_27&amp;28_03'!AY27/100)</f>
        <v>311.20035200000001</v>
      </c>
      <c r="BA27" s="153">
        <f t="shared" si="45"/>
        <v>261.50165578560001</v>
      </c>
      <c r="BB27" s="544">
        <v>861.88</v>
      </c>
      <c r="BC27" s="282">
        <f t="shared" si="18"/>
        <v>225.38304708849293</v>
      </c>
      <c r="BD27" s="545">
        <f t="shared" si="19"/>
        <v>19008.555359055263</v>
      </c>
      <c r="BE27" s="153">
        <f>('SEP_27&amp;28_03_GAS'!H21+'3-Dados_Totalizados_27&amp;28_03'!BD27)/1000</f>
        <v>95.847055359055261</v>
      </c>
      <c r="BF27" s="282">
        <f t="shared" si="20"/>
        <v>83.752115443296077</v>
      </c>
      <c r="BG27" s="559">
        <f>'SEP_27&amp;28_03_OLEO'!J23*(AY27/100)</f>
        <v>0.62256200000000006</v>
      </c>
      <c r="BH27" s="153">
        <f>'SEP_27&amp;28_03_AGUA'!I21+'3-Dados_Totalizados_27&amp;28_03'!BG27</f>
        <v>2.2375620000000001</v>
      </c>
      <c r="BI27" s="436">
        <f t="shared" si="21"/>
        <v>2.2279315331520002</v>
      </c>
      <c r="BJ27" s="548">
        <f t="shared" si="22"/>
        <v>309.13516253178898</v>
      </c>
      <c r="BK27" s="546">
        <f t="shared" si="23"/>
        <v>311.36309406494098</v>
      </c>
      <c r="BL27" s="111"/>
      <c r="BM27" s="176" t="e">
        <f>(AB27-#REF!)/#REF!</f>
        <v>#REF!</v>
      </c>
      <c r="BN27" s="177">
        <f t="shared" si="0"/>
        <v>-8.0381437622958005E-2</v>
      </c>
      <c r="BO27" s="177">
        <f t="shared" si="1"/>
        <v>-0.90798640041241607</v>
      </c>
      <c r="BP27" s="176">
        <f t="shared" si="2"/>
        <v>2.23644634173749E-2</v>
      </c>
      <c r="BQ27" s="177">
        <f t="shared" si="3"/>
        <v>-7.7352980029289989E-2</v>
      </c>
      <c r="BR27" s="178">
        <f t="shared" si="4"/>
        <v>-0.92625902656552084</v>
      </c>
      <c r="BS27" s="111"/>
      <c r="BT27" s="111"/>
      <c r="BU27" s="91">
        <f t="shared" si="24"/>
        <v>24.522547808459016</v>
      </c>
      <c r="BV27" s="761">
        <f t="shared" si="25"/>
        <v>-5.8483442144000151</v>
      </c>
      <c r="BW27" s="762">
        <f t="shared" si="26"/>
        <v>-100</v>
      </c>
      <c r="BX27" s="761">
        <f t="shared" si="27"/>
        <v>63.483400000000003</v>
      </c>
      <c r="BY27" s="762">
        <f t="shared" si="28"/>
        <v>-87.282878411910673</v>
      </c>
      <c r="BZ27" s="761">
        <f t="shared" si="29"/>
        <v>1.407</v>
      </c>
      <c r="CA27" s="763">
        <f t="shared" si="30"/>
        <v>-0.9808448917036916</v>
      </c>
      <c r="CB27" s="764">
        <f t="shared" si="31"/>
        <v>3.0402587899999958</v>
      </c>
      <c r="CC27" s="763">
        <f t="shared" si="32"/>
        <v>-1.4273465766412086</v>
      </c>
      <c r="CD27" s="93">
        <f t="shared" si="5"/>
        <v>4.4472587900000349</v>
      </c>
      <c r="CE27" s="169" t="str">
        <f t="shared" si="33"/>
        <v>OK</v>
      </c>
      <c r="CF27" s="170" t="str">
        <f t="shared" si="34"/>
        <v>OK</v>
      </c>
      <c r="CH27" s="95">
        <f t="shared" si="35"/>
        <v>-0.26699999999999591</v>
      </c>
      <c r="CI27" s="76">
        <f t="shared" si="36"/>
        <v>0</v>
      </c>
      <c r="CJ27" s="33">
        <f t="shared" si="37"/>
        <v>6.9999999999999785E-3</v>
      </c>
      <c r="CK27" s="76">
        <f t="shared" si="46"/>
        <v>-0.26699999999999591</v>
      </c>
      <c r="CL27" s="97">
        <f t="shared" si="38"/>
        <v>-0.2599999999999959</v>
      </c>
      <c r="CM27" s="98">
        <f t="shared" si="39"/>
        <v>-3.6870240000013155E-2</v>
      </c>
      <c r="CN27" s="76">
        <f t="shared" si="40"/>
        <v>3.130000000000166E-2</v>
      </c>
      <c r="CO27" s="76">
        <f t="shared" si="41"/>
        <v>1.9000000000000128E-2</v>
      </c>
      <c r="CP27" s="76">
        <f t="shared" si="47"/>
        <v>-5.5702400000114949E-3</v>
      </c>
      <c r="CQ27" s="47">
        <f t="shared" si="50"/>
        <v>1.3429759999988633E-2</v>
      </c>
      <c r="CR27" s="75" t="s">
        <v>12</v>
      </c>
      <c r="CS27" s="96"/>
    </row>
    <row r="28" spans="1:97" s="418" customFormat="1" ht="21.75" customHeight="1" x14ac:dyDescent="0.25">
      <c r="A28" s="180">
        <v>46109.24999895833</v>
      </c>
      <c r="B28" s="180">
        <v>46109.291667650461</v>
      </c>
      <c r="C28" s="90">
        <f t="shared" si="6"/>
        <v>1.0000486111384816</v>
      </c>
      <c r="D28" s="258" cm="1">
        <f t="array" ref="D28">_xll.PITimeDat('3-Dados_Totalizados_27&amp;28_03'!$D$7,'3-Dados_Totalizados_27&amp;28_03'!B28,"","interpolated")</f>
        <v>2136.1064223304697</v>
      </c>
      <c r="E28" s="258" cm="1">
        <f t="array" ref="E28">_xll.PITimeDat($E$7,B28,"","interpolated")</f>
        <v>4.0580089495429315E-2</v>
      </c>
      <c r="F28" s="258" cm="1">
        <f t="array" ref="F28">_xll.PITimeDat($F$7,B28,"","interpolated")</f>
        <v>4.0580106991498159E-2</v>
      </c>
      <c r="G28" s="258" cm="1">
        <f t="array" ref="G28">_xll.PITimeDat($G$7,B28,"","interpolated")</f>
        <v>14.553691765243061</v>
      </c>
      <c r="H28" s="416">
        <v>306.82799999999997</v>
      </c>
      <c r="I28" s="386">
        <v>0</v>
      </c>
      <c r="J28" s="386">
        <v>0.20399999999999999</v>
      </c>
      <c r="K28" s="386" cm="1">
        <f t="array" ref="K28">_xll.PITimeDat($K$7,B28,"","interpolated")</f>
        <v>0.36177121169916704</v>
      </c>
      <c r="L28" s="386">
        <v>306.82799999999997</v>
      </c>
      <c r="M28" s="388">
        <f t="shared" si="48"/>
        <v>307.03199999999998</v>
      </c>
      <c r="N28" s="381">
        <v>1</v>
      </c>
      <c r="O28" s="235">
        <v>1</v>
      </c>
      <c r="P28" s="235">
        <v>1</v>
      </c>
      <c r="Q28" s="236">
        <v>1</v>
      </c>
      <c r="R28" s="123">
        <f t="shared" si="7"/>
        <v>306.82799999999997</v>
      </c>
      <c r="S28" s="124">
        <f t="shared" si="8"/>
        <v>0</v>
      </c>
      <c r="T28" s="644">
        <f t="shared" si="9"/>
        <v>0.20399999999999999</v>
      </c>
      <c r="U28" s="647">
        <f t="shared" si="10"/>
        <v>306.82799999999997</v>
      </c>
      <c r="V28" s="388">
        <f t="shared" si="11"/>
        <v>307.03199999999998</v>
      </c>
      <c r="W28" s="237">
        <v>550.45000000000005</v>
      </c>
      <c r="X28" s="237">
        <v>82.28</v>
      </c>
      <c r="Y28" s="237">
        <v>622.39</v>
      </c>
      <c r="Z28" s="237">
        <v>569.46</v>
      </c>
      <c r="AA28" s="238">
        <v>997.05</v>
      </c>
      <c r="AB28" s="234">
        <v>229.83199999999999</v>
      </c>
      <c r="AC28" s="239">
        <v>76.997</v>
      </c>
      <c r="AD28" s="240">
        <v>0.20399999999999999</v>
      </c>
      <c r="AE28" s="242">
        <f t="shared" si="42"/>
        <v>306.82900000000001</v>
      </c>
      <c r="AF28" s="250">
        <f t="shared" si="43"/>
        <v>307.03300000000002</v>
      </c>
      <c r="AG28" s="242">
        <v>267.26799999999997</v>
      </c>
      <c r="AH28" s="243">
        <v>88.406000000000006</v>
      </c>
      <c r="AI28" s="244">
        <v>0.16400000000000001</v>
      </c>
      <c r="AJ28" s="417"/>
      <c r="AK28" s="91">
        <f>'SEP_27&amp;28_03_OLEO'!E22</f>
        <v>62.95</v>
      </c>
      <c r="AL28" s="94">
        <f>'SEP_27&amp;28_03_OLEO'!D22</f>
        <v>84.32495999999999</v>
      </c>
      <c r="AM28" s="91">
        <f>'SEP_27&amp;28_03_OLEO'!I22</f>
        <v>320.57</v>
      </c>
      <c r="AN28" s="167">
        <v>768.13</v>
      </c>
      <c r="AO28" s="93">
        <f t="shared" si="49"/>
        <v>246.23943409999998</v>
      </c>
      <c r="AP28" s="165">
        <f>'SEP_27&amp;28_03_OLEO'!K22</f>
        <v>268.87200000000001</v>
      </c>
      <c r="AQ28" s="92">
        <f>'SEP_27&amp;28_03_GAS'!I22</f>
        <v>63.459000000000003</v>
      </c>
      <c r="AR28" s="92">
        <f>'SEP_27&amp;28_03_AGUA'!J22</f>
        <v>1.5960000000000001</v>
      </c>
      <c r="AS28" s="92">
        <f t="shared" si="12"/>
        <v>309.69843409999999</v>
      </c>
      <c r="AT28" s="93">
        <f t="shared" si="13"/>
        <v>311.29443409999999</v>
      </c>
      <c r="AU28" s="281">
        <f t="shared" si="44"/>
        <v>-0.92684811543902734</v>
      </c>
      <c r="AV28" s="282">
        <f t="shared" si="14"/>
        <v>-1.3692612629979561</v>
      </c>
      <c r="AW28" s="145">
        <f t="shared" si="15"/>
        <v>72.69</v>
      </c>
      <c r="AX28" s="92">
        <f t="shared" si="16"/>
        <v>0.84030000000000005</v>
      </c>
      <c r="AY28" s="93">
        <f t="shared" si="17"/>
        <v>0.2</v>
      </c>
      <c r="AZ28" s="545">
        <f>'SEP_27&amp;28_03_OLEO'!J22*(1-'3-Dados_Totalizados_27&amp;28_03'!AY28/100)</f>
        <v>310.895962</v>
      </c>
      <c r="BA28" s="153">
        <f t="shared" si="45"/>
        <v>261.24587686860002</v>
      </c>
      <c r="BB28" s="544">
        <v>861.88</v>
      </c>
      <c r="BC28" s="282">
        <f t="shared" si="18"/>
        <v>225.16259635550898</v>
      </c>
      <c r="BD28" s="545">
        <f t="shared" si="19"/>
        <v>18989.962789578534</v>
      </c>
      <c r="BE28" s="153">
        <f>('SEP_27&amp;28_03_GAS'!H22+'3-Dados_Totalizados_27&amp;28_03'!BD28)/1000</f>
        <v>95.799062789578542</v>
      </c>
      <c r="BF28" s="282">
        <f t="shared" si="20"/>
        <v>83.710179056161635</v>
      </c>
      <c r="BG28" s="559">
        <f>'SEP_27&amp;28_03_OLEO'!J24*(AY28/100)</f>
        <v>0.62284600000000001</v>
      </c>
      <c r="BH28" s="153">
        <f>'SEP_27&amp;28_03_AGUA'!I22+'3-Dados_Totalizados_27&amp;28_03'!BG28</f>
        <v>2.2218460000000002</v>
      </c>
      <c r="BI28" s="436">
        <f t="shared" si="21"/>
        <v>2.2122831748160001</v>
      </c>
      <c r="BJ28" s="548">
        <f t="shared" si="22"/>
        <v>308.8727754116706</v>
      </c>
      <c r="BK28" s="546">
        <f t="shared" si="23"/>
        <v>311.08505858648658</v>
      </c>
      <c r="BL28" s="111"/>
      <c r="BM28" s="176" t="e">
        <f>(AB28-#REF!)/#REF!</f>
        <v>#REF!</v>
      </c>
      <c r="BN28" s="177">
        <f t="shared" si="0"/>
        <v>-8.0195492732821963E-2</v>
      </c>
      <c r="BO28" s="177">
        <f t="shared" si="1"/>
        <v>-0.90778757334401039</v>
      </c>
      <c r="BP28" s="176">
        <f t="shared" si="2"/>
        <v>2.3051552826722409E-2</v>
      </c>
      <c r="BQ28" s="177">
        <f t="shared" si="3"/>
        <v>-7.7172600381459969E-2</v>
      </c>
      <c r="BR28" s="178">
        <f t="shared" si="4"/>
        <v>-0.92618750354434998</v>
      </c>
      <c r="BS28" s="111"/>
      <c r="BT28" s="111"/>
      <c r="BU28" s="91">
        <f t="shared" si="24"/>
        <v>24.605549521931746</v>
      </c>
      <c r="BV28" s="761">
        <f t="shared" si="25"/>
        <v>-6.022123131399951</v>
      </c>
      <c r="BW28" s="762">
        <f t="shared" si="26"/>
        <v>-100</v>
      </c>
      <c r="BX28" s="761">
        <f t="shared" si="27"/>
        <v>63.459000000000003</v>
      </c>
      <c r="BY28" s="762">
        <f t="shared" si="28"/>
        <v>-87.218045112781951</v>
      </c>
      <c r="BZ28" s="761">
        <f t="shared" si="29"/>
        <v>1.3920000000000001</v>
      </c>
      <c r="CA28" s="763">
        <f t="shared" si="30"/>
        <v>-0.92684811543902734</v>
      </c>
      <c r="CB28" s="764">
        <f t="shared" si="31"/>
        <v>2.8704341000000113</v>
      </c>
      <c r="CC28" s="763">
        <f t="shared" si="32"/>
        <v>-1.3692612629979561</v>
      </c>
      <c r="CD28" s="93">
        <f t="shared" si="5"/>
        <v>4.2624341000000072</v>
      </c>
      <c r="CE28" s="169" t="str">
        <f t="shared" si="33"/>
        <v>OK</v>
      </c>
      <c r="CF28" s="170" t="str">
        <f t="shared" si="34"/>
        <v>OK</v>
      </c>
      <c r="CH28" s="95">
        <f t="shared" si="35"/>
        <v>-9.5000000000027285E-2</v>
      </c>
      <c r="CI28" s="76">
        <f t="shared" si="36"/>
        <v>0</v>
      </c>
      <c r="CJ28" s="33">
        <f t="shared" si="37"/>
        <v>-1.0000000000000009E-3</v>
      </c>
      <c r="CK28" s="76">
        <f t="shared" si="46"/>
        <v>-9.5000000000027285E-2</v>
      </c>
      <c r="CL28" s="97">
        <f t="shared" si="38"/>
        <v>-9.6000000000027286E-2</v>
      </c>
      <c r="CM28" s="98">
        <f t="shared" si="39"/>
        <v>-0.24042468999999755</v>
      </c>
      <c r="CN28" s="76">
        <f t="shared" si="40"/>
        <v>-2.4399999999999977E-2</v>
      </c>
      <c r="CO28" s="76">
        <f t="shared" si="41"/>
        <v>-1.6000000000000014E-2</v>
      </c>
      <c r="CP28" s="76">
        <f t="shared" si="47"/>
        <v>-0.26482468999999753</v>
      </c>
      <c r="CQ28" s="47">
        <f t="shared" si="50"/>
        <v>-0.28082468999999755</v>
      </c>
      <c r="CR28" s="75" t="s">
        <v>12</v>
      </c>
      <c r="CS28" s="96"/>
    </row>
    <row r="29" spans="1:97" s="418" customFormat="1" ht="21.75" customHeight="1" x14ac:dyDescent="0.25">
      <c r="A29" s="180">
        <v>46109.291665567129</v>
      </c>
      <c r="B29" s="180">
        <v>46109.333334374998</v>
      </c>
      <c r="C29" s="90">
        <f t="shared" si="6"/>
        <v>1.0000513888662681</v>
      </c>
      <c r="D29" s="258" cm="1">
        <f t="array" ref="D29">_xll.PITimeDat('3-Dados_Totalizados_27&amp;28_03'!$D$7,'3-Dados_Totalizados_27&amp;28_03'!B29,"","interpolated")</f>
        <v>2130.0577275093328</v>
      </c>
      <c r="E29" s="258" cm="1">
        <f t="array" ref="E29">_xll.PITimeDat($E$7,B29,"","interpolated")</f>
        <v>4.0360007959309517E-2</v>
      </c>
      <c r="F29" s="258" cm="1">
        <f t="array" ref="F29">_xll.PITimeDat($F$7,B29,"","interpolated")</f>
        <v>4.0360021201804028E-2</v>
      </c>
      <c r="G29" s="258" cm="1">
        <f t="array" ref="G29">_xll.PITimeDat($G$7,B29,"","interpolated")</f>
        <v>14.53287467407289</v>
      </c>
      <c r="H29" s="416">
        <v>306.673</v>
      </c>
      <c r="I29" s="386">
        <v>0</v>
      </c>
      <c r="J29" s="386">
        <v>0.21</v>
      </c>
      <c r="K29" s="386" cm="1">
        <f t="array" ref="K29">_xll.PITimeDat($K$7,B29,"","interpolated")</f>
        <v>0.3617078580870477</v>
      </c>
      <c r="L29" s="386">
        <v>306.673</v>
      </c>
      <c r="M29" s="388">
        <f t="shared" si="48"/>
        <v>306.88299999999998</v>
      </c>
      <c r="N29" s="381">
        <v>1</v>
      </c>
      <c r="O29" s="235">
        <v>1</v>
      </c>
      <c r="P29" s="235">
        <v>1</v>
      </c>
      <c r="Q29" s="236">
        <v>1</v>
      </c>
      <c r="R29" s="123">
        <f t="shared" si="7"/>
        <v>306.673</v>
      </c>
      <c r="S29" s="124">
        <f t="shared" si="8"/>
        <v>0</v>
      </c>
      <c r="T29" s="644">
        <f t="shared" si="9"/>
        <v>0.21</v>
      </c>
      <c r="U29" s="647">
        <f t="shared" si="10"/>
        <v>306.673</v>
      </c>
      <c r="V29" s="388">
        <f t="shared" si="11"/>
        <v>306.88299999999998</v>
      </c>
      <c r="W29" s="237">
        <v>550.41999999999996</v>
      </c>
      <c r="X29" s="237">
        <v>82.29</v>
      </c>
      <c r="Y29" s="237">
        <v>622.37</v>
      </c>
      <c r="Z29" s="237">
        <v>569.45000000000005</v>
      </c>
      <c r="AA29" s="238">
        <v>997.05</v>
      </c>
      <c r="AB29" s="234">
        <v>229.71600000000001</v>
      </c>
      <c r="AC29" s="239">
        <v>76.957999999999998</v>
      </c>
      <c r="AD29" s="240">
        <v>0.21</v>
      </c>
      <c r="AE29" s="242">
        <f t="shared" si="42"/>
        <v>306.67399999999998</v>
      </c>
      <c r="AF29" s="250">
        <f t="shared" si="43"/>
        <v>306.88399999999996</v>
      </c>
      <c r="AG29" s="242">
        <v>267.13299999999998</v>
      </c>
      <c r="AH29" s="243">
        <v>88.361000000000004</v>
      </c>
      <c r="AI29" s="244">
        <v>0.16900000000000001</v>
      </c>
      <c r="AJ29" s="417"/>
      <c r="AK29" s="91">
        <f>'SEP_27&amp;28_03_OLEO'!E23</f>
        <v>62.94</v>
      </c>
      <c r="AL29" s="94">
        <f>'SEP_27&amp;28_03_OLEO'!D23</f>
        <v>84.323400000000007</v>
      </c>
      <c r="AM29" s="91">
        <f>'SEP_27&amp;28_03_OLEO'!I23</f>
        <v>320.32600000000002</v>
      </c>
      <c r="AN29" s="167">
        <v>768.13</v>
      </c>
      <c r="AO29" s="93">
        <f t="shared" si="49"/>
        <v>246.05201038000001</v>
      </c>
      <c r="AP29" s="165">
        <f>'SEP_27&amp;28_03_OLEO'!K23</f>
        <v>268.66699999999997</v>
      </c>
      <c r="AQ29" s="92">
        <f>'SEP_27&amp;28_03_GAS'!I23</f>
        <v>63.430199999999999</v>
      </c>
      <c r="AR29" s="92">
        <f>'SEP_27&amp;28_03_AGUA'!J23</f>
        <v>1.5549999999999999</v>
      </c>
      <c r="AS29" s="92">
        <f t="shared" si="12"/>
        <v>309.48221038000003</v>
      </c>
      <c r="AT29" s="93">
        <f t="shared" si="13"/>
        <v>311.03721038000003</v>
      </c>
      <c r="AU29" s="281">
        <f t="shared" si="44"/>
        <v>-0.90771303996786123</v>
      </c>
      <c r="AV29" s="282">
        <f t="shared" si="14"/>
        <v>-1.3355991634971143</v>
      </c>
      <c r="AW29" s="145">
        <f t="shared" si="15"/>
        <v>72.69</v>
      </c>
      <c r="AX29" s="92">
        <f t="shared" si="16"/>
        <v>0.84030000000000005</v>
      </c>
      <c r="AY29" s="93">
        <f t="shared" si="17"/>
        <v>0.2</v>
      </c>
      <c r="AZ29" s="545">
        <f>'SEP_27&amp;28_03_OLEO'!J23*(1-'3-Dados_Totalizados_27&amp;28_03'!AY29/100)</f>
        <v>310.65843799999999</v>
      </c>
      <c r="BA29" s="153">
        <f t="shared" si="45"/>
        <v>261.04628545140002</v>
      </c>
      <c r="BB29" s="544">
        <v>861.88</v>
      </c>
      <c r="BC29" s="282">
        <f t="shared" si="18"/>
        <v>224.99057250485268</v>
      </c>
      <c r="BD29" s="545">
        <f t="shared" si="19"/>
        <v>18975.454489462267</v>
      </c>
      <c r="BE29" s="153">
        <f>('SEP_27&amp;28_03_GAS'!H23+'3-Dados_Totalizados_27&amp;28_03'!BD29)/1000</f>
        <v>95.74955448946227</v>
      </c>
      <c r="BF29" s="282">
        <f t="shared" si="20"/>
        <v>83.666918208437025</v>
      </c>
      <c r="BG29" s="559">
        <f>'SEP_27&amp;28_03_OLEO'!J25*(AY29/100)</f>
        <v>0.62254999999999994</v>
      </c>
      <c r="BH29" s="153">
        <f>'SEP_27&amp;28_03_AGUA'!I23+'3-Dados_Totalizados_27&amp;28_03'!BG29</f>
        <v>2.1795499999999999</v>
      </c>
      <c r="BI29" s="436">
        <f t="shared" si="21"/>
        <v>2.1701692167999997</v>
      </c>
      <c r="BJ29" s="548">
        <f t="shared" si="22"/>
        <v>308.65749071328969</v>
      </c>
      <c r="BK29" s="546">
        <f t="shared" si="23"/>
        <v>310.82765993008968</v>
      </c>
      <c r="BL29" s="111"/>
      <c r="BM29" s="176" t="e">
        <f>(AB29-#REF!)/#REF!</f>
        <v>#REF!</v>
      </c>
      <c r="BN29" s="177">
        <f t="shared" si="0"/>
        <v>-8.0186032330284818E-2</v>
      </c>
      <c r="BO29" s="177">
        <f t="shared" si="1"/>
        <v>-0.90323335232371726</v>
      </c>
      <c r="BP29" s="176">
        <f t="shared" si="2"/>
        <v>2.3316610455018882E-2</v>
      </c>
      <c r="BQ29" s="177">
        <f t="shared" si="3"/>
        <v>-7.7165418981405429E-2</v>
      </c>
      <c r="BR29" s="178">
        <f t="shared" si="4"/>
        <v>-0.9224610584753733</v>
      </c>
      <c r="BS29" s="111"/>
      <c r="BT29" s="111"/>
      <c r="BU29" s="91">
        <f t="shared" si="24"/>
        <v>24.637469747301633</v>
      </c>
      <c r="BV29" s="761">
        <f t="shared" si="25"/>
        <v>-6.0867145485999572</v>
      </c>
      <c r="BW29" s="762">
        <f t="shared" si="26"/>
        <v>-100</v>
      </c>
      <c r="BX29" s="761">
        <f t="shared" si="27"/>
        <v>63.430199999999999</v>
      </c>
      <c r="BY29" s="762">
        <f t="shared" si="28"/>
        <v>-86.495176848874593</v>
      </c>
      <c r="BZ29" s="761">
        <f t="shared" si="29"/>
        <v>1.345</v>
      </c>
      <c r="CA29" s="763">
        <f t="shared" si="30"/>
        <v>-0.90771303996786123</v>
      </c>
      <c r="CB29" s="764">
        <f t="shared" si="31"/>
        <v>2.8092103800000245</v>
      </c>
      <c r="CC29" s="763">
        <f t="shared" si="32"/>
        <v>-1.3355991634971143</v>
      </c>
      <c r="CD29" s="93">
        <f t="shared" si="5"/>
        <v>4.1542103800000518</v>
      </c>
      <c r="CE29" s="169" t="str">
        <f t="shared" si="33"/>
        <v>OK</v>
      </c>
      <c r="CF29" s="170" t="str">
        <f t="shared" si="34"/>
        <v>OK</v>
      </c>
      <c r="CH29" s="95">
        <f t="shared" si="35"/>
        <v>-0.15499999999997272</v>
      </c>
      <c r="CI29" s="76">
        <f t="shared" si="36"/>
        <v>0</v>
      </c>
      <c r="CJ29" s="33">
        <f t="shared" si="37"/>
        <v>6.0000000000000053E-3</v>
      </c>
      <c r="CK29" s="76">
        <f t="shared" si="46"/>
        <v>-0.15499999999997272</v>
      </c>
      <c r="CL29" s="97">
        <f t="shared" si="38"/>
        <v>-0.14899999999997271</v>
      </c>
      <c r="CM29" s="98">
        <f t="shared" si="39"/>
        <v>-0.18742371999996976</v>
      </c>
      <c r="CN29" s="76">
        <f t="shared" si="40"/>
        <v>-2.8800000000003934E-2</v>
      </c>
      <c r="CO29" s="76">
        <f t="shared" si="41"/>
        <v>-4.1000000000000147E-2</v>
      </c>
      <c r="CP29" s="76">
        <f t="shared" si="47"/>
        <v>-0.2162237199999737</v>
      </c>
      <c r="CQ29" s="47">
        <f t="shared" si="50"/>
        <v>-0.25722371999997384</v>
      </c>
      <c r="CR29" s="75" t="s">
        <v>12</v>
      </c>
      <c r="CS29" s="96"/>
    </row>
    <row r="30" spans="1:97" s="418" customFormat="1" ht="21.75" customHeight="1" x14ac:dyDescent="0.25">
      <c r="A30" s="180">
        <v>46109.333332175927</v>
      </c>
      <c r="B30" s="180">
        <v>46109.375001099535</v>
      </c>
      <c r="C30" s="90">
        <f t="shared" si="6"/>
        <v>1.0000541665940545</v>
      </c>
      <c r="D30" s="258" cm="1">
        <f t="array" ref="D30">_xll.PITimeDat('3-Dados_Totalizados_27&amp;28_03'!$D$7,'3-Dados_Totalizados_27&amp;28_03'!B30,"","interpolated")</f>
        <v>2127.5519868799024</v>
      </c>
      <c r="E30" s="258" cm="1">
        <f t="array" ref="E30">_xll.PITimeDat($E$7,B30,"","interpolated")</f>
        <v>4.0135284690918538E-2</v>
      </c>
      <c r="F30" s="258" cm="1">
        <f t="array" ref="F30">_xll.PITimeDat($F$7,B30,"","interpolated")</f>
        <v>4.0135276243041154E-2</v>
      </c>
      <c r="G30" s="258" cm="1">
        <f t="array" ref="G30">_xll.PITimeDat($G$7,B30,"","interpolated")</f>
        <v>14.524342863315141</v>
      </c>
      <c r="H30" s="416">
        <v>306.54199999999997</v>
      </c>
      <c r="I30" s="386">
        <v>0</v>
      </c>
      <c r="J30" s="386">
        <v>0.20300000000000001</v>
      </c>
      <c r="K30" s="386" cm="1">
        <f t="array" ref="K30">_xll.PITimeDat($K$7,B30,"","interpolated")</f>
        <v>0.36171951029827937</v>
      </c>
      <c r="L30" s="386">
        <v>306.54199999999997</v>
      </c>
      <c r="M30" s="388">
        <f t="shared" si="48"/>
        <v>306.74499999999995</v>
      </c>
      <c r="N30" s="381">
        <v>1</v>
      </c>
      <c r="O30" s="235">
        <v>1</v>
      </c>
      <c r="P30" s="235">
        <v>1</v>
      </c>
      <c r="Q30" s="236">
        <v>1</v>
      </c>
      <c r="R30" s="123">
        <f t="shared" si="7"/>
        <v>306.54199999999997</v>
      </c>
      <c r="S30" s="124">
        <f t="shared" si="8"/>
        <v>0</v>
      </c>
      <c r="T30" s="644">
        <f t="shared" si="9"/>
        <v>0.20300000000000001</v>
      </c>
      <c r="U30" s="647">
        <f t="shared" si="10"/>
        <v>306.54199999999997</v>
      </c>
      <c r="V30" s="388">
        <f t="shared" si="11"/>
        <v>306.74499999999995</v>
      </c>
      <c r="W30" s="237">
        <v>550.36</v>
      </c>
      <c r="X30" s="237">
        <v>82.3</v>
      </c>
      <c r="Y30" s="237">
        <v>622.36</v>
      </c>
      <c r="Z30" s="237">
        <v>569.44000000000005</v>
      </c>
      <c r="AA30" s="238">
        <v>997.05</v>
      </c>
      <c r="AB30" s="234">
        <v>229.61799999999999</v>
      </c>
      <c r="AC30" s="239">
        <v>76.924999999999997</v>
      </c>
      <c r="AD30" s="240">
        <v>0.20300000000000001</v>
      </c>
      <c r="AE30" s="242">
        <f t="shared" si="42"/>
        <v>306.54300000000001</v>
      </c>
      <c r="AF30" s="250">
        <f t="shared" si="43"/>
        <v>306.74599999999998</v>
      </c>
      <c r="AG30" s="242">
        <v>267.01900000000001</v>
      </c>
      <c r="AH30" s="243">
        <v>88.322999999999993</v>
      </c>
      <c r="AI30" s="244">
        <v>0.16300000000000001</v>
      </c>
      <c r="AJ30" s="417"/>
      <c r="AK30" s="91">
        <f>'SEP_27&amp;28_03_OLEO'!E24</f>
        <v>62.94</v>
      </c>
      <c r="AL30" s="94">
        <f>'SEP_27&amp;28_03_OLEO'!D24</f>
        <v>84.322459999999992</v>
      </c>
      <c r="AM30" s="91">
        <f>'SEP_27&amp;28_03_OLEO'!I24</f>
        <v>320.471</v>
      </c>
      <c r="AN30" s="167">
        <v>768.13</v>
      </c>
      <c r="AO30" s="93">
        <f t="shared" si="49"/>
        <v>246.16338923000001</v>
      </c>
      <c r="AP30" s="165">
        <f>'SEP_27&amp;28_03_OLEO'!K24</f>
        <v>268.78899999999999</v>
      </c>
      <c r="AQ30" s="92">
        <f>'SEP_27&amp;28_03_GAS'!I24</f>
        <v>63.392300000000006</v>
      </c>
      <c r="AR30" s="92">
        <f>'SEP_27&amp;28_03_AGUA'!J24</f>
        <v>1.512</v>
      </c>
      <c r="AS30" s="92">
        <f t="shared" si="12"/>
        <v>309.55568922999998</v>
      </c>
      <c r="AT30" s="93">
        <f t="shared" si="13"/>
        <v>311.06768922999998</v>
      </c>
      <c r="AU30" s="281">
        <f t="shared" si="44"/>
        <v>-0.97355317148147824</v>
      </c>
      <c r="AV30" s="282">
        <f t="shared" si="14"/>
        <v>-1.3896297750178421</v>
      </c>
      <c r="AW30" s="145">
        <f t="shared" si="15"/>
        <v>72.69</v>
      </c>
      <c r="AX30" s="92">
        <f t="shared" si="16"/>
        <v>0.84030000000000005</v>
      </c>
      <c r="AY30" s="93">
        <f t="shared" si="17"/>
        <v>0.2</v>
      </c>
      <c r="AZ30" s="545">
        <f>'SEP_27&amp;28_03_OLEO'!J24*(1-'3-Dados_Totalizados_27&amp;28_03'!AY30/100)</f>
        <v>310.80015400000002</v>
      </c>
      <c r="BA30" s="153">
        <f t="shared" si="45"/>
        <v>261.16536940620006</v>
      </c>
      <c r="BB30" s="544">
        <v>861.88</v>
      </c>
      <c r="BC30" s="282">
        <f t="shared" si="18"/>
        <v>225.09320858381568</v>
      </c>
      <c r="BD30" s="545">
        <f t="shared" si="19"/>
        <v>18984.110702136681</v>
      </c>
      <c r="BE30" s="153">
        <f>('SEP_27&amp;28_03_GAS'!H24+'3-Dados_Totalizados_27&amp;28_03'!BD30)/1000</f>
        <v>95.71241070213668</v>
      </c>
      <c r="BF30" s="282">
        <f t="shared" si="20"/>
        <v>83.63446159563405</v>
      </c>
      <c r="BG30" s="559">
        <f>'SEP_27&amp;28_03_OLEO'!J26*(AY30/100)</f>
        <v>0.622174</v>
      </c>
      <c r="BH30" s="153">
        <f>'SEP_27&amp;28_03_AGUA'!I24+'3-Dados_Totalizados_27&amp;28_03'!BG30</f>
        <v>2.1371739999999999</v>
      </c>
      <c r="BI30" s="436">
        <f t="shared" si="21"/>
        <v>2.1279756031040002</v>
      </c>
      <c r="BJ30" s="548">
        <f t="shared" si="22"/>
        <v>308.72767017944972</v>
      </c>
      <c r="BK30" s="546">
        <f t="shared" si="23"/>
        <v>310.85564578255372</v>
      </c>
      <c r="BL30" s="111"/>
      <c r="BM30" s="176" t="e">
        <f>(AB30-#REF!)/#REF!</f>
        <v>#REF!</v>
      </c>
      <c r="BN30" s="177">
        <f t="shared" si="0"/>
        <v>-8.0223647855518762E-2</v>
      </c>
      <c r="BO30" s="177">
        <f t="shared" si="1"/>
        <v>-0.90460416947267097</v>
      </c>
      <c r="BP30" s="176">
        <f t="shared" si="2"/>
        <v>2.2413502246140388E-2</v>
      </c>
      <c r="BQ30" s="177">
        <f t="shared" si="3"/>
        <v>-7.7204310788211356E-2</v>
      </c>
      <c r="BR30" s="178">
        <f t="shared" si="4"/>
        <v>-0.92373105792977084</v>
      </c>
      <c r="BS30" s="111"/>
      <c r="BT30" s="111"/>
      <c r="BU30" s="91">
        <f t="shared" si="24"/>
        <v>24.52785971092797</v>
      </c>
      <c r="BV30" s="761">
        <f t="shared" si="25"/>
        <v>-5.8536305937999487</v>
      </c>
      <c r="BW30" s="762">
        <f t="shared" si="26"/>
        <v>-100</v>
      </c>
      <c r="BX30" s="761">
        <f t="shared" si="27"/>
        <v>63.392300000000006</v>
      </c>
      <c r="BY30" s="762">
        <f t="shared" si="28"/>
        <v>-86.574074074074076</v>
      </c>
      <c r="BZ30" s="761">
        <f t="shared" si="29"/>
        <v>1.3089999999999999</v>
      </c>
      <c r="CA30" s="763">
        <f t="shared" si="30"/>
        <v>-0.97355317148147824</v>
      </c>
      <c r="CB30" s="764">
        <f t="shared" si="31"/>
        <v>3.0136892300000113</v>
      </c>
      <c r="CC30" s="763">
        <f t="shared" si="32"/>
        <v>-1.3896297750178421</v>
      </c>
      <c r="CD30" s="93">
        <f t="shared" si="5"/>
        <v>4.3226892300000372</v>
      </c>
      <c r="CE30" s="169" t="str">
        <f t="shared" si="33"/>
        <v>OK</v>
      </c>
      <c r="CF30" s="170" t="str">
        <f t="shared" si="34"/>
        <v>OK</v>
      </c>
      <c r="CH30" s="95">
        <f t="shared" si="35"/>
        <v>-0.13100000000002865</v>
      </c>
      <c r="CI30" s="76">
        <f t="shared" si="36"/>
        <v>0</v>
      </c>
      <c r="CJ30" s="33">
        <f t="shared" si="37"/>
        <v>-6.9999999999999785E-3</v>
      </c>
      <c r="CK30" s="76">
        <f t="shared" si="46"/>
        <v>-0.13100000000002865</v>
      </c>
      <c r="CL30" s="97">
        <f t="shared" si="38"/>
        <v>-0.13800000000002863</v>
      </c>
      <c r="CM30" s="98">
        <f t="shared" si="39"/>
        <v>0.11137884999999415</v>
      </c>
      <c r="CN30" s="76">
        <f t="shared" si="40"/>
        <v>-3.7899999999993383E-2</v>
      </c>
      <c r="CO30" s="76">
        <f t="shared" si="41"/>
        <v>-4.2999999999999927E-2</v>
      </c>
      <c r="CP30" s="76">
        <f t="shared" si="47"/>
        <v>7.3478850000000762E-2</v>
      </c>
      <c r="CQ30" s="47">
        <f t="shared" si="50"/>
        <v>3.0478850000000834E-2</v>
      </c>
      <c r="CR30" s="75" t="s">
        <v>12</v>
      </c>
      <c r="CS30" s="96"/>
    </row>
    <row r="31" spans="1:97" s="418" customFormat="1" ht="21.75" customHeight="1" x14ac:dyDescent="0.25">
      <c r="A31" s="180">
        <v>46109.374998784719</v>
      </c>
      <c r="B31" s="180">
        <v>46109.416667824073</v>
      </c>
      <c r="C31" s="90">
        <f t="shared" si="6"/>
        <v>1.000056944496464</v>
      </c>
      <c r="D31" s="258" cm="1">
        <f t="array" ref="D31">_xll.PITimeDat('3-Dados_Totalizados_27&amp;28_03'!$D$7,'3-Dados_Totalizados_27&amp;28_03'!B31,"","interpolated")</f>
        <v>2127.7877438019577</v>
      </c>
      <c r="E31" s="258" cm="1">
        <f t="array" ref="E31">_xll.PITimeDat($E$7,B31,"","interpolated")</f>
        <v>3.678752455917178E-2</v>
      </c>
      <c r="F31" s="258" cm="1">
        <f t="array" ref="F31">_xll.PITimeDat($F$7,B31,"","interpolated")</f>
        <v>3.6787526849497931E-2</v>
      </c>
      <c r="G31" s="258" cm="1">
        <f t="array" ref="G31">_xll.PITimeDat($G$7,B31,"","interpolated")</f>
        <v>14.525553536188596</v>
      </c>
      <c r="H31" s="416">
        <v>306.26900000000001</v>
      </c>
      <c r="I31" s="386">
        <v>0</v>
      </c>
      <c r="J31" s="386">
        <v>0.21099999999999999</v>
      </c>
      <c r="K31" s="386" cm="1">
        <f t="array" ref="K31">_xll.PITimeDat($K$7,B31,"","interpolated")</f>
        <v>0.36155457038502931</v>
      </c>
      <c r="L31" s="386">
        <v>306.26900000000001</v>
      </c>
      <c r="M31" s="388">
        <f>L31+J31</f>
        <v>306.48</v>
      </c>
      <c r="N31" s="381">
        <v>1</v>
      </c>
      <c r="O31" s="235">
        <v>1</v>
      </c>
      <c r="P31" s="235">
        <v>1</v>
      </c>
      <c r="Q31" s="236">
        <v>1</v>
      </c>
      <c r="R31" s="123">
        <f t="shared" si="7"/>
        <v>306.26900000000001</v>
      </c>
      <c r="S31" s="124">
        <f t="shared" si="8"/>
        <v>0</v>
      </c>
      <c r="T31" s="644">
        <f t="shared" si="9"/>
        <v>0.21099999999999999</v>
      </c>
      <c r="U31" s="647">
        <f t="shared" si="10"/>
        <v>306.26900000000001</v>
      </c>
      <c r="V31" s="388">
        <f t="shared" si="11"/>
        <v>306.48</v>
      </c>
      <c r="W31" s="237">
        <v>550.35</v>
      </c>
      <c r="X31" s="237">
        <v>82.3</v>
      </c>
      <c r="Y31" s="237">
        <v>622.35</v>
      </c>
      <c r="Z31" s="237">
        <v>569.44000000000005</v>
      </c>
      <c r="AA31" s="238">
        <v>997.05</v>
      </c>
      <c r="AB31" s="234">
        <v>229.41300000000001</v>
      </c>
      <c r="AC31" s="239">
        <v>76.855999999999995</v>
      </c>
      <c r="AD31" s="240">
        <v>0.21099999999999999</v>
      </c>
      <c r="AE31" s="242">
        <f t="shared" si="42"/>
        <v>306.26900000000001</v>
      </c>
      <c r="AF31" s="250">
        <f t="shared" si="43"/>
        <v>306.48</v>
      </c>
      <c r="AG31" s="242">
        <v>266.78100000000001</v>
      </c>
      <c r="AH31" s="243">
        <v>88.245000000000005</v>
      </c>
      <c r="AI31" s="244">
        <v>0.16900000000000001</v>
      </c>
      <c r="AJ31" s="417"/>
      <c r="AK31" s="91">
        <f>'SEP_27&amp;28_03_OLEO'!E25</f>
        <v>62.96</v>
      </c>
      <c r="AL31" s="94">
        <f>'SEP_27&amp;28_03_OLEO'!D25</f>
        <v>84.334159999999997</v>
      </c>
      <c r="AM31" s="91">
        <f>'SEP_27&amp;28_03_OLEO'!I25</f>
        <v>320.32299999999998</v>
      </c>
      <c r="AN31" s="167">
        <v>768.13</v>
      </c>
      <c r="AO31" s="93">
        <f t="shared" si="49"/>
        <v>246.04970598999998</v>
      </c>
      <c r="AP31" s="165">
        <f>'SEP_27&amp;28_03_OLEO'!K25</f>
        <v>268.66199999999998</v>
      </c>
      <c r="AQ31" s="92">
        <f>'SEP_27&amp;28_03_GAS'!I25</f>
        <v>63.366999999999997</v>
      </c>
      <c r="AR31" s="92">
        <f>'SEP_27&amp;28_03_AGUA'!J25</f>
        <v>1.375</v>
      </c>
      <c r="AS31" s="92">
        <f t="shared" si="12"/>
        <v>309.41670598999997</v>
      </c>
      <c r="AT31" s="93">
        <f t="shared" si="13"/>
        <v>310.79170598999997</v>
      </c>
      <c r="AU31" s="281">
        <f t="shared" si="44"/>
        <v>-1.0173031801656185</v>
      </c>
      <c r="AV31" s="282">
        <f t="shared" si="14"/>
        <v>-1.387329811863991</v>
      </c>
      <c r="AW31" s="145">
        <f t="shared" si="15"/>
        <v>72.69</v>
      </c>
      <c r="AX31" s="92">
        <f t="shared" si="16"/>
        <v>0.84030000000000005</v>
      </c>
      <c r="AY31" s="93">
        <f t="shared" si="17"/>
        <v>0.2</v>
      </c>
      <c r="AZ31" s="545">
        <f>'SEP_27&amp;28_03_OLEO'!J25*(1-'3-Dados_Totalizados_27&amp;28_03'!AY31/100)</f>
        <v>310.65244999999999</v>
      </c>
      <c r="BA31" s="153">
        <f t="shared" si="45"/>
        <v>261.041253735</v>
      </c>
      <c r="BB31" s="544">
        <v>861.88</v>
      </c>
      <c r="BC31" s="282">
        <f t="shared" si="18"/>
        <v>224.98623576912181</v>
      </c>
      <c r="BD31" s="545">
        <f t="shared" si="19"/>
        <v>18975.088733997149</v>
      </c>
      <c r="BE31" s="153">
        <f>('SEP_27&amp;28_03_GAS'!H25+'3-Dados_Totalizados_27&amp;28_03'!BD31)/1000</f>
        <v>95.672688733997163</v>
      </c>
      <c r="BF31" s="282">
        <f t="shared" si="20"/>
        <v>83.599752142654069</v>
      </c>
      <c r="BG31" s="559">
        <f>'SEP_27&amp;28_03_OLEO'!J27*(AY31/100)</f>
        <v>0.62427200000000005</v>
      </c>
      <c r="BH31" s="153">
        <f>'SEP_27&amp;28_03_AGUA'!I25+'3-Dados_Totalizados_27&amp;28_03'!BG31</f>
        <v>2.0022720000000001</v>
      </c>
      <c r="BI31" s="436">
        <f t="shared" si="21"/>
        <v>1.9936542213120001</v>
      </c>
      <c r="BJ31" s="548">
        <f t="shared" si="22"/>
        <v>308.58598791177587</v>
      </c>
      <c r="BK31" s="546">
        <f t="shared" si="23"/>
        <v>310.57964213308787</v>
      </c>
      <c r="BL31" s="423"/>
      <c r="BM31" s="176" t="e">
        <f>(AB31-#REF!)/#REF!</f>
        <v>#REF!</v>
      </c>
      <c r="BN31" s="177">
        <f t="shared" si="0"/>
        <v>-8.0667130820514632E-2</v>
      </c>
      <c r="BO31" s="177">
        <f t="shared" si="1"/>
        <v>-0.8941641947011536</v>
      </c>
      <c r="BP31" s="176">
        <f t="shared" si="2"/>
        <v>2.1987889587853415E-2</v>
      </c>
      <c r="BQ31" s="177">
        <f t="shared" si="3"/>
        <v>-7.7636458557662949E-2</v>
      </c>
      <c r="BR31" s="178">
        <f t="shared" si="4"/>
        <v>-0.91559588307682471</v>
      </c>
      <c r="BS31" s="423"/>
      <c r="BT31" s="423"/>
      <c r="BU31" s="91">
        <f t="shared" si="24"/>
        <v>24.474442579682453</v>
      </c>
      <c r="BV31" s="761">
        <f t="shared" si="25"/>
        <v>-5.739746265000008</v>
      </c>
      <c r="BW31" s="762">
        <f t="shared" si="26"/>
        <v>-100</v>
      </c>
      <c r="BX31" s="761">
        <f t="shared" si="27"/>
        <v>63.366999999999997</v>
      </c>
      <c r="BY31" s="762">
        <f t="shared" si="28"/>
        <v>-84.654545454545456</v>
      </c>
      <c r="BZ31" s="761">
        <f t="shared" si="29"/>
        <v>1.1639999999999999</v>
      </c>
      <c r="CA31" s="763">
        <f t="shared" si="30"/>
        <v>-1.0173031801656185</v>
      </c>
      <c r="CB31" s="764">
        <f t="shared" si="31"/>
        <v>3.1477059899999631</v>
      </c>
      <c r="CC31" s="763">
        <f t="shared" si="32"/>
        <v>-1.387329811863991</v>
      </c>
      <c r="CD31" s="93">
        <f t="shared" si="5"/>
        <v>4.3117059899999504</v>
      </c>
      <c r="CE31" s="169" t="str">
        <f t="shared" si="33"/>
        <v>OK</v>
      </c>
      <c r="CF31" s="170" t="str">
        <f t="shared" si="34"/>
        <v>OK</v>
      </c>
      <c r="CH31" s="95">
        <f t="shared" si="35"/>
        <v>-0.27299999999996771</v>
      </c>
      <c r="CI31" s="76">
        <f t="shared" si="36"/>
        <v>0</v>
      </c>
      <c r="CJ31" s="33">
        <f t="shared" si="37"/>
        <v>7.9999999999999793E-3</v>
      </c>
      <c r="CK31" s="76">
        <f t="shared" si="46"/>
        <v>-0.27299999999996771</v>
      </c>
      <c r="CL31" s="97">
        <f t="shared" si="38"/>
        <v>-0.26499999999996771</v>
      </c>
      <c r="CM31" s="98">
        <f t="shared" si="39"/>
        <v>-0.11368324000002872</v>
      </c>
      <c r="CN31" s="76">
        <f t="shared" si="40"/>
        <v>-2.5300000000008538E-2</v>
      </c>
      <c r="CO31" s="76">
        <f t="shared" si="41"/>
        <v>-0.13700000000000001</v>
      </c>
      <c r="CP31" s="76">
        <f t="shared" si="47"/>
        <v>-0.13898324000003726</v>
      </c>
      <c r="CQ31" s="47">
        <f t="shared" si="50"/>
        <v>-0.27598324000003727</v>
      </c>
      <c r="CR31" s="75" t="s">
        <v>12</v>
      </c>
      <c r="CS31" s="96"/>
    </row>
    <row r="32" spans="1:97" s="418" customFormat="1" ht="21.75" customHeight="1" x14ac:dyDescent="0.25">
      <c r="A32" s="180">
        <v>46109.416665393517</v>
      </c>
      <c r="B32" s="180">
        <v>46109.45833454861</v>
      </c>
      <c r="C32" s="90">
        <f t="shared" si="6"/>
        <v>1.0000597222242504</v>
      </c>
      <c r="D32" s="258" cm="1">
        <f t="array" ref="D32">_xll.PITimeDat('3-Dados_Totalizados_27&amp;28_03'!$D$7,'3-Dados_Totalizados_27&amp;28_03'!B32,"","interpolated")</f>
        <v>2130.1090625582069</v>
      </c>
      <c r="E32" s="258" cm="1">
        <f t="array" ref="E32">_xll.PITimeDat($E$7,B32,"","interpolated")</f>
        <v>3.4369769681683877E-2</v>
      </c>
      <c r="F32" s="258" cm="1">
        <f t="array" ref="F32">_xll.PITimeDat($F$7,B32,"","interpolated")</f>
        <v>3.4369769681683877E-2</v>
      </c>
      <c r="G32" s="258" cm="1">
        <f t="array" ref="G32">_xll.PITimeDat($G$7,B32,"","interpolated")</f>
        <v>14.533985693180195</v>
      </c>
      <c r="H32" s="416">
        <v>306.50200000000001</v>
      </c>
      <c r="I32" s="386">
        <v>0</v>
      </c>
      <c r="J32" s="386">
        <v>0.20499999999999999</v>
      </c>
      <c r="K32" s="386" cm="1">
        <f t="array" ref="K32">_xll.PITimeDat($K$7,B32,"","interpolated")</f>
        <v>0.36157916294097964</v>
      </c>
      <c r="L32" s="386">
        <v>306.50200000000001</v>
      </c>
      <c r="M32" s="388">
        <f t="shared" si="48"/>
        <v>306.70699999999999</v>
      </c>
      <c r="N32" s="381">
        <v>1</v>
      </c>
      <c r="O32" s="235">
        <v>1</v>
      </c>
      <c r="P32" s="235">
        <v>1</v>
      </c>
      <c r="Q32" s="236">
        <v>1</v>
      </c>
      <c r="R32" s="123">
        <f t="shared" si="7"/>
        <v>306.50200000000001</v>
      </c>
      <c r="S32" s="124">
        <f t="shared" si="8"/>
        <v>0</v>
      </c>
      <c r="T32" s="644">
        <f>J32*P32</f>
        <v>0.20499999999999999</v>
      </c>
      <c r="U32" s="647">
        <f t="shared" si="10"/>
        <v>306.50200000000001</v>
      </c>
      <c r="V32" s="388">
        <f t="shared" si="11"/>
        <v>306.70699999999999</v>
      </c>
      <c r="W32" s="237">
        <v>550.19000000000005</v>
      </c>
      <c r="X32" s="237">
        <v>82.31</v>
      </c>
      <c r="Y32" s="237">
        <v>622.33000000000004</v>
      </c>
      <c r="Z32" s="237">
        <v>569.42999999999995</v>
      </c>
      <c r="AA32" s="238">
        <v>997.05</v>
      </c>
      <c r="AB32" s="234">
        <v>229.58699999999999</v>
      </c>
      <c r="AC32" s="239">
        <v>76.915000000000006</v>
      </c>
      <c r="AD32" s="240">
        <v>0.20499999999999999</v>
      </c>
      <c r="AE32" s="242">
        <f t="shared" si="42"/>
        <v>306.50200000000001</v>
      </c>
      <c r="AF32" s="250">
        <f>AE32+AD32</f>
        <v>306.70699999999999</v>
      </c>
      <c r="AG32" s="242">
        <v>266.98399999999998</v>
      </c>
      <c r="AH32" s="243">
        <v>88.311999999999998</v>
      </c>
      <c r="AI32" s="244">
        <v>0.16500000000000001</v>
      </c>
      <c r="AJ32" s="417"/>
      <c r="AK32" s="91">
        <f>'SEP_27&amp;28_03_OLEO'!E26</f>
        <v>62.95</v>
      </c>
      <c r="AL32" s="94">
        <f>'SEP_27&amp;28_03_OLEO'!D26</f>
        <v>84.333410000000001</v>
      </c>
      <c r="AM32" s="91">
        <f>'SEP_27&amp;28_03_OLEO'!I26</f>
        <v>320.12599999999998</v>
      </c>
      <c r="AN32" s="167">
        <v>768.13</v>
      </c>
      <c r="AO32" s="93">
        <f t="shared" si="49"/>
        <v>245.89838437999998</v>
      </c>
      <c r="AP32" s="165">
        <f>'SEP_27&amp;28_03_OLEO'!K26</f>
        <v>268.49900000000002</v>
      </c>
      <c r="AQ32" s="92">
        <f>'SEP_27&amp;28_03_GAS'!I26</f>
        <v>63.3093</v>
      </c>
      <c r="AR32" s="92">
        <f>'SEP_27&amp;28_03_AGUA'!J26</f>
        <v>1.52</v>
      </c>
      <c r="AS32" s="92">
        <f>AO32+AQ32</f>
        <v>309.20768437999999</v>
      </c>
      <c r="AT32" s="93">
        <f>AO32+AQ32+AR32</f>
        <v>310.72768437999997</v>
      </c>
      <c r="AU32" s="281">
        <f t="shared" si="44"/>
        <v>-0.87503788446435804</v>
      </c>
      <c r="AV32" s="282">
        <f t="shared" si="14"/>
        <v>-1.2939575654555946</v>
      </c>
      <c r="AW32" s="145">
        <f t="shared" si="15"/>
        <v>72.69</v>
      </c>
      <c r="AX32" s="92">
        <f t="shared" si="16"/>
        <v>0.84030000000000005</v>
      </c>
      <c r="AY32" s="93">
        <f t="shared" si="17"/>
        <v>0.2</v>
      </c>
      <c r="AZ32" s="545">
        <f>'SEP_27&amp;28_03_OLEO'!J26*(1-'3-Dados_Totalizados_27&amp;28_03'!AY32/100)</f>
        <v>310.46482600000002</v>
      </c>
      <c r="BA32" s="153">
        <f t="shared" si="45"/>
        <v>260.88359328780001</v>
      </c>
      <c r="BB32" s="544">
        <v>861.88</v>
      </c>
      <c r="BC32" s="282">
        <f t="shared" si="18"/>
        <v>224.85035138288907</v>
      </c>
      <c r="BD32" s="545">
        <f t="shared" si="19"/>
        <v>18963.628396090182</v>
      </c>
      <c r="BE32" s="153">
        <f>('SEP_27&amp;28_03_GAS'!H26+'3-Dados_Totalizados_27&amp;28_03'!BD32)/1000</f>
        <v>95.591328396090177</v>
      </c>
      <c r="BF32" s="282">
        <f t="shared" si="20"/>
        <v>83.528658665787546</v>
      </c>
      <c r="BG32" s="559">
        <f>'SEP_27&amp;28_03_OLEO'!J28*(AY32/100)</f>
        <v>0</v>
      </c>
      <c r="BH32" s="153">
        <f>'SEP_27&amp;28_03_AGUA'!I26+'3-Dados_Totalizados_27&amp;28_03'!BG32</f>
        <v>1.5229999999999999</v>
      </c>
      <c r="BI32" s="436">
        <f t="shared" si="21"/>
        <v>1.5164450079999998</v>
      </c>
      <c r="BJ32" s="548">
        <f t="shared" si="22"/>
        <v>308.37901004867661</v>
      </c>
      <c r="BK32" s="546">
        <f t="shared" si="23"/>
        <v>309.89545505667661</v>
      </c>
      <c r="BL32" s="111"/>
      <c r="BM32" s="176" t="e">
        <f>(AB32-#REF!)/#REF!</f>
        <v>#REF!</v>
      </c>
      <c r="BN32" s="177">
        <f t="shared" si="0"/>
        <v>-7.9178317614914895E-2</v>
      </c>
      <c r="BO32" s="177">
        <f t="shared" si="1"/>
        <v>-0.86481540780013566</v>
      </c>
      <c r="BP32" s="176">
        <f t="shared" si="2"/>
        <v>2.338363495886903E-2</v>
      </c>
      <c r="BQ32" s="177">
        <f t="shared" si="3"/>
        <v>-7.6150509865578073E-2</v>
      </c>
      <c r="BR32" s="178">
        <f t="shared" si="4"/>
        <v>-0.89166119500984897</v>
      </c>
      <c r="BS32" s="111"/>
      <c r="BT32" s="111"/>
      <c r="BU32" s="91">
        <f t="shared" si="24"/>
        <v>24.645796584960888</v>
      </c>
      <c r="BV32" s="761">
        <f t="shared" si="25"/>
        <v>-6.1004067121999697</v>
      </c>
      <c r="BW32" s="762">
        <f t="shared" si="26"/>
        <v>-100</v>
      </c>
      <c r="BX32" s="761">
        <f t="shared" si="27"/>
        <v>63.3093</v>
      </c>
      <c r="BY32" s="762">
        <f t="shared" si="28"/>
        <v>-86.513157894736835</v>
      </c>
      <c r="BZ32" s="761">
        <f t="shared" si="29"/>
        <v>1.3149999999999999</v>
      </c>
      <c r="CA32" s="763">
        <f t="shared" si="30"/>
        <v>-0.87503788446435804</v>
      </c>
      <c r="CB32" s="764">
        <f t="shared" si="31"/>
        <v>2.7056843799999797</v>
      </c>
      <c r="CC32" s="763">
        <f t="shared" si="32"/>
        <v>-1.2939575654555946</v>
      </c>
      <c r="CD32" s="93">
        <f t="shared" si="5"/>
        <v>4.0206843799999774</v>
      </c>
      <c r="CE32" s="169" t="str">
        <f t="shared" si="33"/>
        <v>OK</v>
      </c>
      <c r="CF32" s="170" t="str">
        <f t="shared" si="34"/>
        <v>OK</v>
      </c>
      <c r="CH32" s="95">
        <f t="shared" si="35"/>
        <v>0.23300000000000409</v>
      </c>
      <c r="CI32" s="76">
        <f t="shared" si="36"/>
        <v>0</v>
      </c>
      <c r="CJ32" s="33">
        <f t="shared" si="37"/>
        <v>-6.0000000000000053E-3</v>
      </c>
      <c r="CK32" s="76">
        <f t="shared" si="46"/>
        <v>0.23300000000000409</v>
      </c>
      <c r="CL32" s="97">
        <f t="shared" si="38"/>
        <v>0.22700000000000409</v>
      </c>
      <c r="CM32" s="98">
        <f t="shared" si="39"/>
        <v>-0.15132160999999655</v>
      </c>
      <c r="CN32" s="76">
        <f t="shared" si="40"/>
        <v>-5.7699999999996976E-2</v>
      </c>
      <c r="CO32" s="76">
        <f t="shared" si="41"/>
        <v>0.14500000000000002</v>
      </c>
      <c r="CP32" s="76">
        <f t="shared" si="47"/>
        <v>-0.20902160999999353</v>
      </c>
      <c r="CQ32" s="47">
        <f t="shared" si="50"/>
        <v>-6.4021609999993512E-2</v>
      </c>
      <c r="CR32" s="75" t="s">
        <v>12</v>
      </c>
      <c r="CS32" s="96"/>
    </row>
    <row r="33" spans="1:98" s="418" customFormat="1" ht="21" customHeight="1" thickBot="1" x14ac:dyDescent="0.3">
      <c r="A33" s="180">
        <v>46109.458332002316</v>
      </c>
      <c r="B33" s="180">
        <v>46109.500001273147</v>
      </c>
      <c r="C33" s="210">
        <f t="shared" si="6"/>
        <v>1.0000624999520369</v>
      </c>
      <c r="D33" s="258" cm="1">
        <f t="array" ref="D33">_xll.PITimeDat('3-Dados_Totalizados_27&amp;28_03'!$D$7,'3-Dados_Totalizados_27&amp;28_03'!B33,"","interpolated")</f>
        <v>2133.1019438551734</v>
      </c>
      <c r="E33" s="258" cm="1">
        <f t="array" ref="E33">_xll.PITimeDat($E$7,B33,"","interpolated")</f>
        <v>3.7182986027721028E-2</v>
      </c>
      <c r="F33" s="258" cm="1">
        <f t="array" ref="F33">_xll.PITimeDat($F$7,B33,"","interpolated")</f>
        <v>3.7181441509767106E-2</v>
      </c>
      <c r="G33" s="258" cm="1">
        <f t="array" ref="G33">_xll.PITimeDat($G$7,B33,"","interpolated")</f>
        <v>14.54455690939491</v>
      </c>
      <c r="H33" s="389">
        <v>306.46300000000002</v>
      </c>
      <c r="I33" s="390">
        <v>0</v>
      </c>
      <c r="J33" s="390">
        <v>0.19800000000000001</v>
      </c>
      <c r="K33" s="390" cm="1">
        <f t="array" ref="K33">_xll.PITimeDat($K$7,B33,"","interpolated")</f>
        <v>0.36154776068740324</v>
      </c>
      <c r="L33" s="390">
        <v>306.46300000000002</v>
      </c>
      <c r="M33" s="391">
        <f t="shared" si="48"/>
        <v>306.661</v>
      </c>
      <c r="N33" s="382">
        <v>1</v>
      </c>
      <c r="O33" s="193">
        <v>1</v>
      </c>
      <c r="P33" s="193">
        <v>1</v>
      </c>
      <c r="Q33" s="194">
        <v>1</v>
      </c>
      <c r="R33" s="123">
        <f t="shared" si="7"/>
        <v>306.46300000000002</v>
      </c>
      <c r="S33" s="124">
        <f t="shared" si="8"/>
        <v>0</v>
      </c>
      <c r="T33" s="644">
        <f t="shared" si="9"/>
        <v>0.19800000000000001</v>
      </c>
      <c r="U33" s="647">
        <f t="shared" si="10"/>
        <v>306.46300000000002</v>
      </c>
      <c r="V33" s="388">
        <f t="shared" si="11"/>
        <v>306.661</v>
      </c>
      <c r="W33" s="245">
        <v>550.09</v>
      </c>
      <c r="X33" s="245">
        <v>82.32</v>
      </c>
      <c r="Y33" s="245">
        <v>622.30999999999995</v>
      </c>
      <c r="Z33" s="245">
        <v>569.42999999999995</v>
      </c>
      <c r="AA33" s="246">
        <v>997.05</v>
      </c>
      <c r="AB33" s="154">
        <v>229.55799999999999</v>
      </c>
      <c r="AC33" s="155">
        <v>76.905000000000001</v>
      </c>
      <c r="AD33" s="173">
        <v>0.19800000000000001</v>
      </c>
      <c r="AE33" s="251">
        <f t="shared" si="42"/>
        <v>306.46299999999997</v>
      </c>
      <c r="AF33" s="252">
        <f t="shared" si="43"/>
        <v>306.66099999999994</v>
      </c>
      <c r="AG33" s="215">
        <v>266.95</v>
      </c>
      <c r="AH33" s="156">
        <v>88.3</v>
      </c>
      <c r="AI33" s="151">
        <v>0.159</v>
      </c>
      <c r="AK33" s="91">
        <f>'SEP_27&amp;28_03_OLEO'!E27</f>
        <v>62.94</v>
      </c>
      <c r="AL33" s="94">
        <f>'SEP_27&amp;28_03_OLEO'!D27</f>
        <v>84.330449999999999</v>
      </c>
      <c r="AM33" s="91">
        <f>'SEP_27&amp;28_03_OLEO'!I27</f>
        <v>321.20299999999997</v>
      </c>
      <c r="AN33" s="167">
        <v>768.13</v>
      </c>
      <c r="AO33" s="229">
        <f t="shared" si="49"/>
        <v>246.72566038999997</v>
      </c>
      <c r="AP33" s="351">
        <f>'SEP_27&amp;28_03_OLEO'!K27</f>
        <v>269.404</v>
      </c>
      <c r="AQ33" s="92">
        <f>'SEP_27&amp;28_03_GAS'!I27</f>
        <v>63.3035</v>
      </c>
      <c r="AR33" s="92">
        <f>'SEP_27&amp;28_03_AGUA'!J27</f>
        <v>1.7090000000000001</v>
      </c>
      <c r="AS33" s="92">
        <f t="shared" si="12"/>
        <v>310.02916038999996</v>
      </c>
      <c r="AT33" s="93">
        <f t="shared" si="13"/>
        <v>311.73816038999996</v>
      </c>
      <c r="AU33" s="283">
        <f t="shared" si="44"/>
        <v>-1.1502661186818308</v>
      </c>
      <c r="AV33" s="284">
        <f t="shared" si="14"/>
        <v>-1.6286618178692591</v>
      </c>
      <c r="AW33" s="145">
        <f t="shared" si="15"/>
        <v>72.69</v>
      </c>
      <c r="AX33" s="92">
        <f t="shared" si="16"/>
        <v>0.84030000000000005</v>
      </c>
      <c r="AY33" s="93">
        <f t="shared" si="17"/>
        <v>0.2</v>
      </c>
      <c r="AZ33" s="545">
        <f>'SEP_27&amp;28_03_OLEO'!J27*(1-'3-Dados_Totalizados_27&amp;28_03'!AY33/100)</f>
        <v>311.51172800000001</v>
      </c>
      <c r="BA33" s="174">
        <f>AZ33*AX33</f>
        <v>261.76330503840001</v>
      </c>
      <c r="BB33" s="544">
        <v>861.88</v>
      </c>
      <c r="BC33" s="284">
        <f t="shared" si="18"/>
        <v>225.60855734649621</v>
      </c>
      <c r="BD33" s="560">
        <f t="shared" si="19"/>
        <v>19027.574643241296</v>
      </c>
      <c r="BE33" s="153">
        <f>('SEP_27&amp;28_03_GAS'!H27+'3-Dados_Totalizados_27&amp;28_03'!BD33)/1000</f>
        <v>95.648374643241297</v>
      </c>
      <c r="BF33" s="284">
        <f t="shared" si="20"/>
        <v>83.578506247010679</v>
      </c>
      <c r="BG33" s="559">
        <f>'SEP_27&amp;28_03_OLEO'!J28*(AY33/100)</f>
        <v>0</v>
      </c>
      <c r="BH33" s="153">
        <f>'SEP_27&amp;28_03_AGUA'!I27+'3-Dados_Totalizados_27&amp;28_03'!BG33</f>
        <v>1.7110000000000001</v>
      </c>
      <c r="BI33" s="437">
        <f t="shared" si="21"/>
        <v>1.703635856</v>
      </c>
      <c r="BJ33" s="549">
        <f t="shared" si="22"/>
        <v>309.18706359350688</v>
      </c>
      <c r="BK33" s="550">
        <f t="shared" si="23"/>
        <v>310.89069944950688</v>
      </c>
      <c r="BL33" s="111"/>
      <c r="BM33" s="176" t="e">
        <f>(AB33-#REF!)/#REF!</f>
        <v>#REF!</v>
      </c>
      <c r="BN33" s="177">
        <f t="shared" si="0"/>
        <v>-7.9847158637743262E-2</v>
      </c>
      <c r="BO33" s="177">
        <f t="shared" si="1"/>
        <v>-0.88377798031036514</v>
      </c>
      <c r="BP33" s="176">
        <f t="shared" si="2"/>
        <v>1.9814446340517849E-2</v>
      </c>
      <c r="BQ33" s="177">
        <f t="shared" si="3"/>
        <v>-7.6826968264228107E-2</v>
      </c>
      <c r="BR33" s="178">
        <f t="shared" si="4"/>
        <v>-0.90707188778492109</v>
      </c>
      <c r="BS33" s="111"/>
      <c r="BT33" s="111"/>
      <c r="BU33" s="91">
        <f t="shared" si="24"/>
        <v>24.21204973798552</v>
      </c>
      <c r="BV33" s="761">
        <f t="shared" si="25"/>
        <v>-5.1866949615999829</v>
      </c>
      <c r="BW33" s="762">
        <f t="shared" si="26"/>
        <v>-100</v>
      </c>
      <c r="BX33" s="761">
        <f t="shared" si="27"/>
        <v>63.3035</v>
      </c>
      <c r="BY33" s="762">
        <f t="shared" si="28"/>
        <v>-88.414277355178456</v>
      </c>
      <c r="BZ33" s="761">
        <f t="shared" si="29"/>
        <v>1.5110000000000001</v>
      </c>
      <c r="CA33" s="763">
        <f>((U33/AS33)-1)*100</f>
        <v>-1.1502661186818308</v>
      </c>
      <c r="CB33" s="765">
        <f t="shared" si="31"/>
        <v>3.5661603899999363</v>
      </c>
      <c r="CC33" s="763">
        <f t="shared" si="32"/>
        <v>-1.6286618178692591</v>
      </c>
      <c r="CD33" s="230">
        <f t="shared" si="5"/>
        <v>5.0771603899999604</v>
      </c>
      <c r="CE33" s="231" t="str">
        <f t="shared" si="33"/>
        <v>OK</v>
      </c>
      <c r="CF33" s="232" t="str">
        <f t="shared" si="34"/>
        <v>OK</v>
      </c>
      <c r="CH33" s="99">
        <f t="shared" si="35"/>
        <v>-3.8999999999987267E-2</v>
      </c>
      <c r="CI33" s="100">
        <f t="shared" si="36"/>
        <v>0</v>
      </c>
      <c r="CJ33" s="100">
        <f t="shared" si="37"/>
        <v>-6.9999999999999785E-3</v>
      </c>
      <c r="CK33" s="100">
        <f t="shared" si="46"/>
        <v>-3.8999999999987267E-2</v>
      </c>
      <c r="CL33" s="101">
        <f t="shared" si="38"/>
        <v>-4.5999999999987246E-2</v>
      </c>
      <c r="CM33" s="102">
        <f t="shared" si="39"/>
        <v>0.8272760099999914</v>
      </c>
      <c r="CN33" s="100">
        <f t="shared" si="40"/>
        <v>-5.8000000000006935E-3</v>
      </c>
      <c r="CO33" s="100">
        <f t="shared" si="41"/>
        <v>0.18900000000000006</v>
      </c>
      <c r="CP33" s="100">
        <f t="shared" si="47"/>
        <v>0.82147600999999071</v>
      </c>
      <c r="CQ33" s="103">
        <f t="shared" si="50"/>
        <v>1.0104760099999908</v>
      </c>
      <c r="CR33" s="104" t="s">
        <v>12</v>
      </c>
      <c r="CS33" s="105"/>
    </row>
    <row r="34" spans="1:98" s="426" customFormat="1" ht="15.75" thickBot="1" x14ac:dyDescent="0.3">
      <c r="A34" s="814" t="s">
        <v>439</v>
      </c>
      <c r="B34" s="815"/>
      <c r="C34" s="815"/>
      <c r="D34" s="654">
        <f>AVERAGE(D10:D33)</f>
        <v>2138.0644673795205</v>
      </c>
      <c r="E34" s="655">
        <f>AVERAGE(E10:E33)</f>
        <v>3.6323504484612558E-2</v>
      </c>
      <c r="F34" s="655">
        <f>AVERAGE(F10:F33)</f>
        <v>3.6323436469587009E-2</v>
      </c>
      <c r="G34" s="656">
        <f>AVERAGE(G10:G33)</f>
        <v>14.55895442950707</v>
      </c>
      <c r="H34" s="656">
        <f>SUM(H10:H33)</f>
        <v>7370.6369999999988</v>
      </c>
      <c r="I34" s="656">
        <f>SUM(I10:I33)</f>
        <v>0</v>
      </c>
      <c r="J34" s="656">
        <f>SUM(J10:J33)</f>
        <v>4.886000000000001</v>
      </c>
      <c r="K34" s="656">
        <f t="shared" ref="K34" si="51">SUM(K10:K33)</f>
        <v>8.4624959660683956</v>
      </c>
      <c r="L34" s="657">
        <f>SUM(L10:L33)</f>
        <v>7370.6369999999988</v>
      </c>
      <c r="M34" s="658">
        <f>SUM(M10:M33)</f>
        <v>7375.523000000001</v>
      </c>
      <c r="N34" s="862"/>
      <c r="O34" s="862"/>
      <c r="P34" s="862"/>
      <c r="Q34" s="863"/>
      <c r="R34" s="205">
        <f>SUM(R10:R33)</f>
        <v>7370.6369999999988</v>
      </c>
      <c r="S34" s="197">
        <f t="shared" ref="S34:AB34" si="52">SUM(S10:S33)</f>
        <v>0</v>
      </c>
      <c r="T34" s="209">
        <f>SUM(T10:T33)</f>
        <v>4.886000000000001</v>
      </c>
      <c r="U34" s="648">
        <f>SUM(U10:U33)</f>
        <v>7370.6369999999988</v>
      </c>
      <c r="V34" s="649">
        <f>SUM(V10:V33)</f>
        <v>7375.523000000001</v>
      </c>
      <c r="W34" s="202">
        <f>AVERAGE(W10:W33)</f>
        <v>551.08875000000012</v>
      </c>
      <c r="X34" s="197">
        <f>AVERAGE(X10:X33)</f>
        <v>82.201250000000002</v>
      </c>
      <c r="Y34" s="197">
        <f t="shared" ref="Y34:AA34" si="53">AVERAGE(Y10:Y33)</f>
        <v>622.51791666666668</v>
      </c>
      <c r="Z34" s="197">
        <f>AVERAGE(Z10:Z33)</f>
        <v>569.52166666666665</v>
      </c>
      <c r="AA34" s="209">
        <f t="shared" si="53"/>
        <v>997.04999999999961</v>
      </c>
      <c r="AB34" s="205">
        <f t="shared" si="52"/>
        <v>5521.0280000000012</v>
      </c>
      <c r="AC34" s="197">
        <f>SUM(AC10:AC33)</f>
        <v>1849.616</v>
      </c>
      <c r="AD34" s="197">
        <f>SUM(AD10:AD33)</f>
        <v>4.886000000000001</v>
      </c>
      <c r="AE34" s="197">
        <f>SUM(AE10:AE33)</f>
        <v>7370.6439999999993</v>
      </c>
      <c r="AF34" s="209">
        <f>AE34+AD34</f>
        <v>7375.53</v>
      </c>
      <c r="AG34" s="205">
        <f>SUM(AG10:AG33)</f>
        <v>6420.3250000000007</v>
      </c>
      <c r="AH34" s="205">
        <f>SUM(AH10:AH33)</f>
        <v>2123.6849999999999</v>
      </c>
      <c r="AI34" s="198">
        <f>SUM(AI10:AI33)</f>
        <v>3.9239999999999999</v>
      </c>
      <c r="AJ34" s="424"/>
      <c r="AK34" s="535">
        <f>AVERAGE(AK10:AK33)</f>
        <v>62.915833333333353</v>
      </c>
      <c r="AL34" s="536">
        <f>AVERAGE(AL10:AL33)</f>
        <v>80.942771666666673</v>
      </c>
      <c r="AM34" s="537">
        <f>SUM(AM10:AM33)</f>
        <v>7703.5769999999993</v>
      </c>
      <c r="AN34" s="538">
        <f>AVERAGE(AN10:AN33)</f>
        <v>768.12999999999977</v>
      </c>
      <c r="AO34" s="537">
        <f t="shared" ref="AO34:AT34" si="54">SUM(AO10:AO33)</f>
        <v>5917.3486010099996</v>
      </c>
      <c r="AP34" s="539">
        <f t="shared" si="54"/>
        <v>6461.4359999999997</v>
      </c>
      <c r="AQ34" s="540">
        <f t="shared" si="54"/>
        <v>1523.5213999999999</v>
      </c>
      <c r="AR34" s="541">
        <f t="shared" si="54"/>
        <v>28.113000000000003</v>
      </c>
      <c r="AS34" s="542">
        <f t="shared" si="54"/>
        <v>7440.8700010100001</v>
      </c>
      <c r="AT34" s="543">
        <f t="shared" si="54"/>
        <v>7468.9830010099995</v>
      </c>
      <c r="AU34" s="543">
        <f>AVERAGE(AU10:AU33)</f>
        <v>-0.94369963753797104</v>
      </c>
      <c r="AV34" s="538">
        <f>AVERAGE(AV10:AV33)</f>
        <v>-1.2507526273403393</v>
      </c>
      <c r="AW34" s="538" t="s">
        <v>12</v>
      </c>
      <c r="AX34" s="538">
        <f>AVERAGE(AX10:AX33)</f>
        <v>0.8402999999999996</v>
      </c>
      <c r="AY34" s="538">
        <f>AVERAGE(AY10:AY33)</f>
        <v>0.18750000000000008</v>
      </c>
      <c r="AZ34" s="551">
        <f>SUM(AZ10:AZ33)</f>
        <v>7472.2766030000003</v>
      </c>
      <c r="BA34" s="552">
        <f>SUM(BA10:BA33)</f>
        <v>6278.9540295009001</v>
      </c>
      <c r="BB34" s="553">
        <f>AVERAGE(BB10:BB33)</f>
        <v>861.87999999999977</v>
      </c>
      <c r="BC34" s="554">
        <f>SUM(BC10:BC33)</f>
        <v>5411.7048989462364</v>
      </c>
      <c r="BD34" s="552">
        <f>SUM(BD10:BD33)</f>
        <v>456417.16840442049</v>
      </c>
      <c r="BE34" s="553">
        <f>SUM(BE10:BE33)</f>
        <v>2300.4448684044214</v>
      </c>
      <c r="BF34" s="555">
        <f>SUM(BF10:BF33)</f>
        <v>2010.1517304604668</v>
      </c>
      <c r="BG34" s="552" t="s">
        <v>12</v>
      </c>
      <c r="BH34" s="556">
        <f t="shared" ref="BH34" si="55">SUM(BH10:BH33)</f>
        <v>40.946469300000004</v>
      </c>
      <c r="BI34" s="557">
        <f>SUM(BI10:BI33)</f>
        <v>40.770235696132794</v>
      </c>
      <c r="BJ34" s="552">
        <f>SUM(BJ10:BJ33)</f>
        <v>7421.8566294067032</v>
      </c>
      <c r="BK34" s="556">
        <f t="shared" ref="BK34" si="56">BJ34+BI34</f>
        <v>7462.6268651028358</v>
      </c>
      <c r="BL34" s="425"/>
      <c r="BM34" s="425"/>
      <c r="BN34" s="425"/>
      <c r="BO34" s="425"/>
      <c r="BP34" s="425"/>
      <c r="BQ34" s="425"/>
      <c r="BR34" s="425"/>
      <c r="BS34" s="425"/>
      <c r="BT34" s="425"/>
      <c r="BU34" s="845"/>
      <c r="BV34" s="846"/>
      <c r="BW34" s="846"/>
      <c r="BX34" s="846"/>
      <c r="BY34" s="846"/>
      <c r="BZ34" s="846"/>
      <c r="CA34" s="846"/>
      <c r="CB34" s="846"/>
      <c r="CC34" s="846"/>
      <c r="CD34" s="846"/>
      <c r="CE34" s="846"/>
      <c r="CF34" s="847"/>
      <c r="CG34" s="163"/>
      <c r="CH34" s="425"/>
      <c r="CT34" s="425"/>
    </row>
    <row r="35" spans="1:98" s="426" customFormat="1" x14ac:dyDescent="0.25">
      <c r="A35" s="816" t="s">
        <v>440</v>
      </c>
      <c r="B35" s="817"/>
      <c r="C35" s="817"/>
      <c r="D35" s="651">
        <f>MIN(D10:D33)</f>
        <v>2127.5519868799024</v>
      </c>
      <c r="E35" s="652">
        <f t="shared" ref="E35:M35" si="57">MIN(E10:E33)</f>
        <v>2.446923436863872E-2</v>
      </c>
      <c r="F35" s="652">
        <f t="shared" si="57"/>
        <v>2.4469250001474565E-2</v>
      </c>
      <c r="G35" s="652">
        <f t="shared" si="57"/>
        <v>14.524342863315141</v>
      </c>
      <c r="H35" s="652">
        <f t="shared" si="57"/>
        <v>306.24700000000001</v>
      </c>
      <c r="I35" s="652">
        <f t="shared" si="57"/>
        <v>0</v>
      </c>
      <c r="J35" s="652">
        <f t="shared" si="57"/>
        <v>0.18099999999999999</v>
      </c>
      <c r="K35" s="652">
        <f t="shared" si="57"/>
        <v>0.21602008483107527</v>
      </c>
      <c r="L35" s="652">
        <f t="shared" si="57"/>
        <v>306.26900000000001</v>
      </c>
      <c r="M35" s="653">
        <f t="shared" si="57"/>
        <v>306.48</v>
      </c>
      <c r="N35" s="864"/>
      <c r="O35" s="864"/>
      <c r="P35" s="864"/>
      <c r="Q35" s="865"/>
      <c r="R35" s="427">
        <f t="shared" ref="R35:X35" si="58">MIN(R10:R33)</f>
        <v>306.24700000000001</v>
      </c>
      <c r="S35" s="428">
        <f t="shared" si="58"/>
        <v>0</v>
      </c>
      <c r="T35" s="428">
        <f t="shared" si="58"/>
        <v>0.18099999999999999</v>
      </c>
      <c r="U35" s="427">
        <f t="shared" si="58"/>
        <v>306.26900000000001</v>
      </c>
      <c r="V35" s="429">
        <f t="shared" si="58"/>
        <v>306.45100000000002</v>
      </c>
      <c r="W35" s="430">
        <f t="shared" si="58"/>
        <v>550.09</v>
      </c>
      <c r="X35" s="428">
        <f t="shared" si="58"/>
        <v>82.05</v>
      </c>
      <c r="Y35" s="428">
        <f t="shared" ref="Y35:AA35" si="59">MIN(Y10:Y33)</f>
        <v>622.30999999999995</v>
      </c>
      <c r="Z35" s="428">
        <f t="shared" si="59"/>
        <v>569.42999999999995</v>
      </c>
      <c r="AA35" s="428">
        <f t="shared" si="59"/>
        <v>997.05</v>
      </c>
      <c r="AB35" s="427">
        <f>MIN(AB10:AB33)</f>
        <v>229.41300000000001</v>
      </c>
      <c r="AC35" s="428">
        <f>MIN(AC10:AC33)</f>
        <v>76.855999999999995</v>
      </c>
      <c r="AD35" s="428">
        <f t="shared" ref="AD35:AI35" si="60">MIN(AD10:AD33)</f>
        <v>0.18</v>
      </c>
      <c r="AE35" s="428">
        <f t="shared" si="60"/>
        <v>306.26900000000001</v>
      </c>
      <c r="AF35" s="428">
        <f>MIN(AF10:AF33)</f>
        <v>306.48</v>
      </c>
      <c r="AG35" s="428">
        <f t="shared" si="60"/>
        <v>266.78100000000001</v>
      </c>
      <c r="AH35" s="428">
        <f t="shared" si="60"/>
        <v>88.245000000000005</v>
      </c>
      <c r="AI35" s="428">
        <f t="shared" si="60"/>
        <v>0.14499999999999999</v>
      </c>
      <c r="AJ35" s="424"/>
      <c r="AK35" s="189"/>
      <c r="AL35" s="189"/>
      <c r="AM35" s="189"/>
      <c r="AN35" s="189"/>
      <c r="AO35" s="189"/>
      <c r="AP35" s="189"/>
      <c r="AQ35" s="189"/>
      <c r="AR35" s="189"/>
      <c r="AS35" s="163"/>
      <c r="AT35" s="163"/>
      <c r="AU35" s="163"/>
      <c r="AV35" s="163"/>
      <c r="AW35" s="163"/>
      <c r="AX35" s="163"/>
      <c r="AY35" s="163"/>
      <c r="AZ35" s="163"/>
      <c r="BA35" s="308"/>
      <c r="BB35" s="308"/>
      <c r="BC35" s="308"/>
      <c r="BD35" s="308"/>
      <c r="BE35" s="309"/>
      <c r="BF35" s="309"/>
      <c r="BG35" s="308"/>
      <c r="BH35" s="308"/>
      <c r="BI35" s="163"/>
      <c r="BJ35" s="163"/>
      <c r="BK35" s="163"/>
      <c r="BL35" s="425"/>
      <c r="BM35" s="425"/>
      <c r="BN35" s="425"/>
      <c r="BO35" s="425"/>
      <c r="BP35" s="425"/>
      <c r="BQ35" s="425"/>
      <c r="BR35" s="425"/>
      <c r="BS35" s="425"/>
      <c r="BT35" s="425"/>
      <c r="BU35" s="163"/>
      <c r="BV35" s="163"/>
      <c r="BW35" s="163"/>
      <c r="BX35" s="163"/>
      <c r="BY35" s="163"/>
      <c r="BZ35" s="163"/>
      <c r="CA35" s="163"/>
      <c r="CB35" s="163"/>
      <c r="CC35" s="163"/>
      <c r="CD35" s="163"/>
      <c r="CE35" s="163"/>
      <c r="CF35" s="163"/>
      <c r="CG35" s="163"/>
      <c r="CH35" s="425"/>
      <c r="CT35" s="425"/>
    </row>
    <row r="36" spans="1:98" s="426" customFormat="1" ht="15.75" thickBot="1" x14ac:dyDescent="0.3">
      <c r="A36" s="818" t="s">
        <v>441</v>
      </c>
      <c r="B36" s="819"/>
      <c r="C36" s="819"/>
      <c r="D36" s="431">
        <f>MAX(D10:D33)</f>
        <v>2145.2045807144368</v>
      </c>
      <c r="E36" s="432">
        <f t="shared" ref="E36:M36" si="61">MAX(E10:E33)</f>
        <v>4.0580089495429315E-2</v>
      </c>
      <c r="F36" s="432">
        <f t="shared" si="61"/>
        <v>4.0580106991498159E-2</v>
      </c>
      <c r="G36" s="432">
        <f t="shared" si="61"/>
        <v>14.580682594148977</v>
      </c>
      <c r="H36" s="432">
        <f t="shared" si="61"/>
        <v>308.93200000000002</v>
      </c>
      <c r="I36" s="432">
        <f t="shared" si="61"/>
        <v>0</v>
      </c>
      <c r="J36" s="432">
        <f t="shared" si="61"/>
        <v>0.23400000000000001</v>
      </c>
      <c r="K36" s="432">
        <f t="shared" si="61"/>
        <v>0.36812339389028559</v>
      </c>
      <c r="L36" s="432">
        <f t="shared" si="61"/>
        <v>307.82499999999999</v>
      </c>
      <c r="M36" s="433">
        <f t="shared" si="61"/>
        <v>308.00900000000001</v>
      </c>
      <c r="N36" s="866"/>
      <c r="O36" s="866"/>
      <c r="P36" s="866"/>
      <c r="Q36" s="867"/>
      <c r="R36" s="431">
        <f t="shared" ref="R36:X36" si="62">MAX(R10:R33)</f>
        <v>308.93200000000002</v>
      </c>
      <c r="S36" s="432">
        <f t="shared" si="62"/>
        <v>0</v>
      </c>
      <c r="T36" s="432">
        <f t="shared" si="62"/>
        <v>0.23400000000000001</v>
      </c>
      <c r="U36" s="431">
        <f t="shared" si="62"/>
        <v>307.82499999999999</v>
      </c>
      <c r="V36" s="433">
        <f t="shared" si="62"/>
        <v>309.113</v>
      </c>
      <c r="W36" s="434">
        <f t="shared" si="62"/>
        <v>552.33000000000004</v>
      </c>
      <c r="X36" s="432">
        <f t="shared" si="62"/>
        <v>82.32</v>
      </c>
      <c r="Y36" s="432">
        <f t="shared" ref="Y36:AA36" si="63">MAX(Y10:Y33)</f>
        <v>622.78</v>
      </c>
      <c r="Z36" s="432">
        <f t="shared" si="63"/>
        <v>569.64</v>
      </c>
      <c r="AA36" s="432">
        <f t="shared" si="63"/>
        <v>997.05</v>
      </c>
      <c r="AB36" s="431">
        <f>MAX(AB10:AB33)</f>
        <v>230.578</v>
      </c>
      <c r="AC36" s="432">
        <f>MAX(AC10:AC33)</f>
        <v>77.247</v>
      </c>
      <c r="AD36" s="432">
        <f t="shared" ref="AD36:AI36" si="64">MAX(AD10:AD33)</f>
        <v>0.23400000000000001</v>
      </c>
      <c r="AE36" s="432">
        <f t="shared" si="64"/>
        <v>307.82499999999999</v>
      </c>
      <c r="AF36" s="432">
        <f t="shared" si="64"/>
        <v>308.00900000000001</v>
      </c>
      <c r="AG36" s="432">
        <f t="shared" si="64"/>
        <v>268.13600000000002</v>
      </c>
      <c r="AH36" s="432">
        <f t="shared" si="64"/>
        <v>88.692999999999998</v>
      </c>
      <c r="AI36" s="432">
        <f t="shared" si="64"/>
        <v>0.188</v>
      </c>
      <c r="AJ36" s="424"/>
      <c r="AK36" s="189"/>
      <c r="AL36" s="189"/>
      <c r="AM36" s="189"/>
      <c r="AN36" s="189"/>
      <c r="AO36" s="189"/>
      <c r="AP36" s="189"/>
      <c r="AQ36" s="189"/>
      <c r="AR36" s="189"/>
      <c r="AS36" s="163"/>
      <c r="AT36" s="163"/>
      <c r="AU36" s="163"/>
      <c r="AV36" s="163"/>
      <c r="AW36" s="163"/>
      <c r="AX36" s="844" t="s">
        <v>442</v>
      </c>
      <c r="AY36" s="844"/>
      <c r="AZ36" s="844"/>
      <c r="BA36" s="844"/>
      <c r="BB36" s="844"/>
      <c r="BC36" s="844"/>
      <c r="BD36" s="844"/>
      <c r="BE36" s="844"/>
      <c r="BF36" s="526"/>
      <c r="BG36" s="308"/>
      <c r="BH36" s="308"/>
      <c r="BI36" s="163"/>
      <c r="BJ36" s="163"/>
      <c r="BK36" s="163"/>
      <c r="BL36" s="425"/>
      <c r="BM36" s="425"/>
      <c r="BN36" s="425"/>
      <c r="BO36" s="425"/>
      <c r="BP36" s="425"/>
      <c r="BQ36" s="425"/>
      <c r="BR36" s="425"/>
      <c r="BS36" s="425"/>
      <c r="BT36" s="425"/>
      <c r="BU36" s="163"/>
      <c r="BV36" s="163"/>
      <c r="BW36" s="163"/>
      <c r="BX36" s="163"/>
      <c r="BY36" s="163"/>
      <c r="BZ36" s="163"/>
      <c r="CA36" s="163"/>
      <c r="CB36" s="163"/>
      <c r="CC36" s="163"/>
      <c r="CD36" s="163"/>
      <c r="CE36" s="163"/>
      <c r="CF36" s="163"/>
      <c r="CG36" s="163"/>
      <c r="CH36" s="425"/>
      <c r="CT36" s="425"/>
    </row>
    <row r="37" spans="1:98" s="107" customFormat="1" ht="15" customHeight="1" thickBot="1" x14ac:dyDescent="0.3">
      <c r="A37" s="188"/>
      <c r="B37" s="188"/>
      <c r="C37" s="188"/>
      <c r="D37" s="188"/>
      <c r="E37" s="188"/>
      <c r="F37" s="188"/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  <c r="AR37" s="189"/>
      <c r="AS37" s="163"/>
      <c r="AT37" s="163"/>
      <c r="AU37" s="163"/>
      <c r="AV37" s="163"/>
      <c r="AW37" s="163"/>
      <c r="AX37" s="844" t="s">
        <v>443</v>
      </c>
      <c r="AY37" s="844"/>
      <c r="AZ37" s="844"/>
      <c r="BA37" s="844"/>
      <c r="BB37" s="844"/>
      <c r="BC37" s="844"/>
      <c r="BD37" s="844"/>
      <c r="BE37" s="844"/>
      <c r="BF37" s="526"/>
      <c r="BG37" s="308"/>
      <c r="BH37" s="308"/>
      <c r="BI37" s="163"/>
      <c r="BJ37" s="163"/>
      <c r="BK37" s="163"/>
      <c r="BL37" s="106"/>
      <c r="BM37" s="106"/>
      <c r="BN37" s="106"/>
      <c r="BO37" s="106"/>
      <c r="BP37" s="106"/>
      <c r="BQ37" s="106"/>
      <c r="BR37" s="106"/>
      <c r="BS37" s="106"/>
      <c r="BT37" s="106"/>
      <c r="BU37" s="163"/>
      <c r="BV37" s="163"/>
      <c r="BW37" s="163"/>
      <c r="BX37" s="163"/>
      <c r="BY37" s="163"/>
      <c r="BZ37" s="163"/>
      <c r="CA37" s="163"/>
      <c r="CB37" s="163"/>
      <c r="CC37" s="163"/>
      <c r="CD37" s="163"/>
      <c r="CE37" s="163"/>
      <c r="CF37" s="163"/>
      <c r="CG37" s="163"/>
      <c r="CH37" s="106"/>
      <c r="CT37" s="106"/>
    </row>
    <row r="38" spans="1:98" s="107" customFormat="1" ht="15" hidden="1" customHeight="1" x14ac:dyDescent="0.25">
      <c r="A38" s="188"/>
      <c r="B38" s="188"/>
      <c r="C38" s="188"/>
      <c r="D38" s="188"/>
      <c r="E38" s="188"/>
      <c r="F38" s="188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89"/>
      <c r="AS38" s="163"/>
      <c r="AT38" s="163"/>
      <c r="AU38" s="163"/>
      <c r="AV38" s="163"/>
      <c r="AW38" s="163"/>
      <c r="AX38" s="529"/>
      <c r="AY38" s="529"/>
      <c r="AZ38" s="529"/>
      <c r="BA38" s="530"/>
      <c r="BB38" s="530"/>
      <c r="BC38" s="530"/>
      <c r="BD38" s="530"/>
      <c r="BE38" s="531"/>
      <c r="BF38" s="527"/>
      <c r="BG38" s="308"/>
      <c r="BH38" s="308"/>
      <c r="BI38" s="163"/>
      <c r="BJ38" s="163"/>
      <c r="BK38" s="163"/>
      <c r="BL38" s="106"/>
      <c r="BM38" s="106"/>
      <c r="BN38" s="106"/>
      <c r="BO38" s="106"/>
      <c r="BP38" s="106"/>
      <c r="BQ38" s="106"/>
      <c r="BR38" s="106"/>
      <c r="BS38" s="106"/>
      <c r="BT38" s="106"/>
      <c r="BU38" s="163"/>
      <c r="BV38" s="163"/>
      <c r="BW38" s="163"/>
      <c r="BX38" s="163"/>
      <c r="BY38" s="163"/>
      <c r="BZ38" s="163"/>
      <c r="CA38" s="163"/>
      <c r="CB38" s="163"/>
      <c r="CC38" s="163"/>
      <c r="CD38" s="163"/>
      <c r="CE38" s="163"/>
      <c r="CF38" s="163"/>
      <c r="CG38" s="163"/>
      <c r="CH38" s="106"/>
      <c r="CT38" s="106"/>
    </row>
    <row r="39" spans="1:98" ht="19.5" customHeight="1" thickBot="1" x14ac:dyDescent="0.35">
      <c r="A39" s="842" t="s">
        <v>444</v>
      </c>
      <c r="B39" s="842"/>
      <c r="C39" s="842"/>
      <c r="D39" s="842"/>
      <c r="E39" s="842"/>
      <c r="F39" s="842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I39" s="233"/>
      <c r="AK39" s="353"/>
      <c r="AL39" s="353"/>
      <c r="AM39" s="353"/>
      <c r="AN39" s="353"/>
      <c r="AO39" s="353"/>
      <c r="AP39" s="353"/>
      <c r="AQ39" s="353"/>
      <c r="AR39" s="353"/>
      <c r="AX39" s="532" t="s">
        <v>445</v>
      </c>
      <c r="AY39" s="533"/>
      <c r="AZ39" s="533"/>
      <c r="BA39" s="533"/>
      <c r="BB39" s="533"/>
      <c r="BC39" s="533"/>
      <c r="BD39" s="918" t="s">
        <v>735</v>
      </c>
      <c r="BE39" s="918" t="s">
        <v>739</v>
      </c>
      <c r="BF39" s="918" t="s">
        <v>740</v>
      </c>
      <c r="BU39" s="796" t="s">
        <v>446</v>
      </c>
      <c r="BV39" s="797"/>
      <c r="BW39" s="797"/>
      <c r="BX39" s="797"/>
      <c r="BY39" s="797"/>
      <c r="BZ39" s="798"/>
      <c r="CG39" s="34"/>
    </row>
    <row r="40" spans="1:98" ht="39" customHeight="1" x14ac:dyDescent="0.3">
      <c r="A40" s="219" t="s">
        <v>447</v>
      </c>
      <c r="B40" s="219"/>
      <c r="C40" s="346">
        <f>SUM(C10:C33)</f>
        <v>24.000733333232347</v>
      </c>
      <c r="D40" s="253"/>
      <c r="E40" s="253"/>
      <c r="F40" s="253"/>
      <c r="G40" s="184"/>
      <c r="I40" s="184"/>
      <c r="J40" s="184"/>
      <c r="K40" s="184"/>
      <c r="L40" s="184"/>
      <c r="M40" s="184"/>
      <c r="N40" s="184"/>
      <c r="O40" s="184"/>
      <c r="P40" s="184"/>
      <c r="Q40" s="185"/>
      <c r="AK40" s="186"/>
      <c r="AL40" s="186"/>
      <c r="AM40" s="354"/>
      <c r="AN40" s="354"/>
      <c r="AO40" s="354"/>
      <c r="AP40" s="354"/>
      <c r="AQ40" s="354"/>
      <c r="AR40" s="354"/>
      <c r="AS40" s="355"/>
      <c r="AT40" s="355"/>
      <c r="AU40" s="355"/>
      <c r="AV40" s="355"/>
      <c r="AW40" s="355"/>
      <c r="AX40" s="532" t="s">
        <v>448</v>
      </c>
      <c r="AY40" s="533"/>
      <c r="AZ40" s="533"/>
      <c r="BA40" s="533"/>
      <c r="BB40" s="533"/>
      <c r="BC40" s="533"/>
      <c r="BD40" s="585" t="s">
        <v>400</v>
      </c>
      <c r="BE40" s="585" t="s">
        <v>405</v>
      </c>
      <c r="BF40" s="586" t="s">
        <v>602</v>
      </c>
      <c r="BG40" s="355"/>
      <c r="BH40" s="355"/>
      <c r="BI40" s="355"/>
      <c r="BJ40" s="355"/>
      <c r="BK40" s="355"/>
      <c r="BL40" s="355"/>
      <c r="BM40" s="355"/>
      <c r="BN40" s="355"/>
      <c r="BO40" s="355"/>
      <c r="BP40" s="355"/>
      <c r="BQ40" s="355"/>
      <c r="BR40" s="355"/>
      <c r="BS40" s="355"/>
      <c r="BT40" s="355"/>
      <c r="BU40" s="86" t="s">
        <v>417</v>
      </c>
      <c r="BV40" s="87" t="s">
        <v>418</v>
      </c>
      <c r="BW40" s="87" t="s">
        <v>419</v>
      </c>
      <c r="BX40" s="87" t="s">
        <v>420</v>
      </c>
      <c r="BY40" s="87" t="s">
        <v>421</v>
      </c>
      <c r="BZ40" s="88" t="s">
        <v>422</v>
      </c>
      <c r="CA40" s="161" t="s">
        <v>449</v>
      </c>
      <c r="CB40" s="159" t="s">
        <v>423</v>
      </c>
      <c r="CC40" s="159" t="s">
        <v>450</v>
      </c>
      <c r="CD40" s="168" t="s">
        <v>425</v>
      </c>
      <c r="CE40" s="159" t="s">
        <v>451</v>
      </c>
      <c r="CG40" s="355"/>
      <c r="CH40" s="355"/>
      <c r="CI40" s="355"/>
      <c r="CJ40" s="355"/>
      <c r="CK40" s="355"/>
      <c r="CL40" s="355"/>
      <c r="CM40" s="355"/>
      <c r="CN40" s="355"/>
      <c r="CO40" s="355"/>
      <c r="CP40" s="355"/>
      <c r="CQ40" s="355"/>
      <c r="CR40" s="355"/>
      <c r="CS40" s="355"/>
    </row>
    <row r="41" spans="1:98" ht="27.75" customHeight="1" x14ac:dyDescent="0.3">
      <c r="A41" s="219" t="s">
        <v>452</v>
      </c>
      <c r="B41" s="219"/>
      <c r="C41" s="221">
        <f>H34</f>
        <v>7370.6369999999988</v>
      </c>
      <c r="D41" s="253"/>
      <c r="E41" s="253"/>
      <c r="F41" s="253"/>
      <c r="G41" s="184"/>
      <c r="I41" s="184"/>
      <c r="J41" s="184"/>
      <c r="K41" s="184"/>
      <c r="L41" s="184"/>
      <c r="M41" s="184"/>
      <c r="N41" s="185"/>
      <c r="O41" s="184"/>
      <c r="P41" s="184"/>
      <c r="Q41" s="185"/>
      <c r="AK41" s="186"/>
      <c r="AL41" s="186"/>
      <c r="AM41" s="354"/>
      <c r="AN41" s="354"/>
      <c r="AO41" s="354"/>
      <c r="AP41" s="354"/>
      <c r="AQ41" s="354"/>
      <c r="AR41" s="354"/>
      <c r="AS41" s="355"/>
      <c r="AT41" s="355"/>
      <c r="AU41" s="355"/>
      <c r="AV41" s="355"/>
      <c r="AW41" s="355"/>
      <c r="AX41" s="532" t="s">
        <v>453</v>
      </c>
      <c r="AY41" s="533"/>
      <c r="AZ41" s="533"/>
      <c r="BA41" s="533"/>
      <c r="BB41" s="533"/>
      <c r="BC41" s="533"/>
      <c r="BD41" s="713" t="s">
        <v>738</v>
      </c>
      <c r="BE41" s="713" t="s">
        <v>736</v>
      </c>
      <c r="BF41" s="713" t="s">
        <v>741</v>
      </c>
      <c r="BG41" s="355"/>
      <c r="BH41" s="355"/>
      <c r="BI41" s="355"/>
      <c r="BJ41" s="355"/>
      <c r="BK41" s="355"/>
      <c r="BL41" s="355"/>
      <c r="BM41" s="355"/>
      <c r="BN41" s="355"/>
      <c r="BO41" s="355"/>
      <c r="BP41" s="355"/>
      <c r="BQ41" s="355"/>
      <c r="BR41" s="355"/>
      <c r="BS41" s="355"/>
      <c r="BT41" s="355"/>
      <c r="BU41" s="91">
        <f>((AG10/BA10)-1)*100</f>
        <v>2.1112010118591096</v>
      </c>
      <c r="BV41" s="92">
        <f>BA10-AG10</f>
        <v>-5.543848166570001</v>
      </c>
      <c r="BW41" s="91">
        <f>((AH10/BE10)-1)*100</f>
        <v>-7.7267264111754219</v>
      </c>
      <c r="BX41" s="92">
        <f>BE10-AH10</f>
        <v>7.4269235167720353</v>
      </c>
      <c r="BY41" s="91">
        <f>((AI10/BH10)-1)*100</f>
        <v>-32.791182203105066</v>
      </c>
      <c r="BZ41" s="91">
        <f>((AI10/BH10)-1)*100</f>
        <v>-32.791182203105066</v>
      </c>
      <c r="CA41" s="759" t="str">
        <f>IF(BU41="","",IF(ABS(BU41)&gt;10,"FORA","OK"))</f>
        <v>OK</v>
      </c>
      <c r="CB41" s="759" t="str">
        <f t="shared" ref="CB41:CD41" si="65">IF(BV41="","",IF(ABS(BV41)&gt;10,"FORA","OK"))</f>
        <v>OK</v>
      </c>
      <c r="CC41" s="759" t="str">
        <f>IF(BW41="","",IF(ABS(BW41)&gt;10,"FORA","OK"))</f>
        <v>OK</v>
      </c>
      <c r="CD41" s="759" t="str">
        <f t="shared" si="65"/>
        <v>OK</v>
      </c>
      <c r="CE41" s="759" t="str">
        <f>IF(BY41="","",IF(ABS(BY41)&gt;10,"FORA","OK"))</f>
        <v>FORA</v>
      </c>
      <c r="CG41" s="355"/>
      <c r="CH41" s="355"/>
      <c r="CI41" s="355"/>
      <c r="CJ41" s="355"/>
      <c r="CK41" s="355"/>
      <c r="CL41" s="355"/>
      <c r="CM41" s="355"/>
      <c r="CN41" s="356"/>
      <c r="CO41" s="356"/>
      <c r="CP41" s="356"/>
      <c r="CQ41" s="356"/>
      <c r="CR41" s="356"/>
      <c r="CS41" s="356"/>
    </row>
    <row r="42" spans="1:98" ht="21.75" customHeight="1" x14ac:dyDescent="0.3">
      <c r="A42" s="219" t="s">
        <v>454</v>
      </c>
      <c r="B42" s="219"/>
      <c r="C42" s="221">
        <f>I34</f>
        <v>0</v>
      </c>
      <c r="D42" s="253"/>
      <c r="E42" s="253"/>
      <c r="F42" s="253"/>
      <c r="G42" s="184"/>
      <c r="H42" s="108"/>
      <c r="I42" s="184"/>
      <c r="K42" s="184"/>
      <c r="L42" s="184"/>
      <c r="M42" s="184"/>
      <c r="N42" s="185"/>
      <c r="O42" s="184"/>
      <c r="P42" s="184"/>
      <c r="Q42" s="185"/>
      <c r="R42" s="186"/>
      <c r="S42" s="187"/>
      <c r="T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I42" s="186"/>
      <c r="AK42" s="186"/>
      <c r="AL42" s="186"/>
      <c r="AM42" s="354"/>
      <c r="AN42" s="357"/>
      <c r="AO42" s="354"/>
      <c r="AP42" s="354"/>
      <c r="AQ42" s="354"/>
      <c r="AR42" s="354"/>
      <c r="AS42" s="355"/>
      <c r="AT42" s="355"/>
      <c r="AU42" s="355"/>
      <c r="AV42" s="355"/>
      <c r="AW42" s="355"/>
      <c r="AX42" s="532" t="s">
        <v>455</v>
      </c>
      <c r="AY42" s="533"/>
      <c r="AZ42" s="533"/>
      <c r="BA42" s="533"/>
      <c r="BB42" s="533"/>
      <c r="BC42" s="533"/>
      <c r="BD42" s="918" t="s">
        <v>735</v>
      </c>
      <c r="BE42" s="918" t="s">
        <v>739</v>
      </c>
      <c r="BF42" s="918" t="s">
        <v>740</v>
      </c>
      <c r="BG42" s="355"/>
      <c r="BH42" s="355"/>
      <c r="BI42" s="355"/>
      <c r="BJ42" s="355"/>
      <c r="BK42" s="355"/>
      <c r="BL42" s="355"/>
      <c r="BM42" s="355"/>
      <c r="BN42" s="355"/>
      <c r="BO42" s="355"/>
      <c r="BP42" s="355"/>
      <c r="BQ42" s="355"/>
      <c r="BR42" s="355"/>
      <c r="BS42" s="355"/>
      <c r="BT42" s="355"/>
      <c r="BU42" s="91">
        <f t="shared" ref="BU42:BU62" si="66">((AG11/BA11)-1)*100</f>
        <v>2.0121117484571238</v>
      </c>
      <c r="BV42" s="92">
        <f t="shared" ref="BV42:BV64" si="67">BA11-AG11</f>
        <v>-5.2863339919600207</v>
      </c>
      <c r="BW42" s="91">
        <f t="shared" ref="BW42:BW64" si="68">((AH11/BE11)-1)*100</f>
        <v>-7.7333897212919727</v>
      </c>
      <c r="BX42" s="92">
        <f t="shared" ref="BX42:BX64" si="69">BE11-AH11</f>
        <v>7.4304286621244273</v>
      </c>
      <c r="BY42" s="91">
        <f>((AI11/BH11)-1)*100</f>
        <v>-33.568242137801462</v>
      </c>
      <c r="BZ42" s="91">
        <f t="shared" ref="BZ42:BZ64" si="70">((AI11/BH11)-1)*100</f>
        <v>-33.568242137801462</v>
      </c>
      <c r="CA42" s="759" t="str">
        <f t="shared" ref="CA42:CA64" si="71">IF(BU42="","",IF(ABS(BU42)&gt;10,"FORA","OK"))</f>
        <v>OK</v>
      </c>
      <c r="CB42" s="435">
        <f t="shared" ref="CB42:CB64" si="72">AS42-U42</f>
        <v>0</v>
      </c>
      <c r="CC42" s="759" t="str">
        <f t="shared" ref="CC42:CC64" si="73">IF(BW42="","",IF(ABS(BW42)&gt;10,"FORA","OK"))</f>
        <v>OK</v>
      </c>
      <c r="CD42" s="93">
        <f t="shared" ref="CD42:CD64" si="74">AT42-V42</f>
        <v>0</v>
      </c>
      <c r="CE42" s="759" t="str">
        <f t="shared" ref="CE42:CE64" si="75">IF(BY42="","",IF(ABS(BY42)&gt;10,"FORA","OK"))</f>
        <v>FORA</v>
      </c>
      <c r="CG42" s="355"/>
      <c r="CH42" s="355"/>
      <c r="CI42" s="355"/>
      <c r="CJ42" s="355"/>
      <c r="CK42" s="355"/>
      <c r="CL42" s="355"/>
      <c r="CM42" s="355"/>
      <c r="CN42" s="356"/>
      <c r="CO42" s="356"/>
      <c r="CP42" s="358"/>
      <c r="CQ42" s="358"/>
      <c r="CR42" s="358"/>
      <c r="CS42" s="358"/>
    </row>
    <row r="43" spans="1:98" ht="21.75" customHeight="1" x14ac:dyDescent="0.3">
      <c r="A43" s="220" t="s">
        <v>456</v>
      </c>
      <c r="B43" s="220"/>
      <c r="C43" s="221">
        <f>J34</f>
        <v>4.886000000000001</v>
      </c>
      <c r="D43" s="254"/>
      <c r="E43" s="254"/>
      <c r="F43" s="254"/>
      <c r="G43" s="108"/>
      <c r="H43" s="108"/>
      <c r="I43" s="184"/>
      <c r="J43" s="108"/>
      <c r="K43" s="108"/>
      <c r="L43" s="108"/>
      <c r="M43" s="108"/>
      <c r="N43" s="108"/>
      <c r="O43" s="108"/>
      <c r="P43" s="108"/>
      <c r="R43" s="109"/>
      <c r="S43" s="110"/>
      <c r="T43"/>
      <c r="W43"/>
      <c r="X43"/>
      <c r="Y43"/>
      <c r="Z43"/>
      <c r="AA43"/>
      <c r="AB43"/>
      <c r="AC43"/>
      <c r="AM43" s="355"/>
      <c r="AN43" s="359"/>
      <c r="AO43" s="355"/>
      <c r="AP43" s="355"/>
      <c r="AQ43" s="355"/>
      <c r="AR43" s="355"/>
      <c r="AS43" s="355"/>
      <c r="AT43" s="355"/>
      <c r="AU43" s="355"/>
      <c r="AV43" s="355"/>
      <c r="AW43" s="355"/>
      <c r="AX43" s="532" t="s">
        <v>457</v>
      </c>
      <c r="AY43" s="533"/>
      <c r="AZ43" s="533"/>
      <c r="BA43" s="533"/>
      <c r="BB43" s="533"/>
      <c r="BC43" s="533"/>
      <c r="BD43" s="713" t="s">
        <v>738</v>
      </c>
      <c r="BE43" s="713" t="s">
        <v>736</v>
      </c>
      <c r="BF43" s="713" t="s">
        <v>741</v>
      </c>
      <c r="BG43" s="355"/>
      <c r="BH43" s="355"/>
      <c r="BI43" s="355"/>
      <c r="BJ43" s="355"/>
      <c r="BK43" s="355"/>
      <c r="BL43" s="355"/>
      <c r="BM43" s="355"/>
      <c r="BN43" s="355"/>
      <c r="BO43" s="355"/>
      <c r="BP43" s="355"/>
      <c r="BQ43" s="355"/>
      <c r="BR43" s="355"/>
      <c r="BS43" s="355"/>
      <c r="BT43" s="355"/>
      <c r="BU43" s="91">
        <f t="shared" si="66"/>
        <v>2.1581640338998564</v>
      </c>
      <c r="BV43" s="92">
        <f t="shared" si="67"/>
        <v>-5.6624938083900247</v>
      </c>
      <c r="BW43" s="91">
        <f t="shared" si="68"/>
        <v>-7.6608149285274489</v>
      </c>
      <c r="BX43" s="92">
        <f t="shared" si="69"/>
        <v>7.3555755450681346</v>
      </c>
      <c r="BY43" s="91">
        <f t="shared" ref="BY43:BY64" si="76">((AI12/BH12)-1)*100</f>
        <v>-27.982675475715723</v>
      </c>
      <c r="BZ43" s="91">
        <f t="shared" si="70"/>
        <v>-27.982675475715723</v>
      </c>
      <c r="CA43" s="759" t="str">
        <f t="shared" si="71"/>
        <v>OK</v>
      </c>
      <c r="CB43" s="435">
        <f t="shared" si="72"/>
        <v>0</v>
      </c>
      <c r="CC43" s="759" t="str">
        <f t="shared" si="73"/>
        <v>OK</v>
      </c>
      <c r="CD43" s="93">
        <f t="shared" si="74"/>
        <v>0</v>
      </c>
      <c r="CE43" s="759" t="str">
        <f t="shared" si="75"/>
        <v>FORA</v>
      </c>
      <c r="CG43" s="355"/>
      <c r="CH43" s="355"/>
      <c r="CI43" s="355"/>
      <c r="CJ43" s="355"/>
      <c r="CK43" s="355"/>
      <c r="CL43" s="355"/>
      <c r="CM43" s="355"/>
      <c r="CN43" s="355"/>
      <c r="CO43" s="355"/>
      <c r="CP43" s="355"/>
      <c r="CQ43" s="355"/>
      <c r="CR43" s="355"/>
      <c r="CS43" s="355"/>
    </row>
    <row r="44" spans="1:98" ht="21.75" customHeight="1" x14ac:dyDescent="0.3">
      <c r="A44" s="220" t="s">
        <v>458</v>
      </c>
      <c r="B44" s="220"/>
      <c r="C44" s="221">
        <f>L34</f>
        <v>7370.6369999999988</v>
      </c>
      <c r="D44" s="254"/>
      <c r="E44" s="254"/>
      <c r="F44" s="254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S44" s="34"/>
      <c r="AM44" s="355"/>
      <c r="AN44" s="355"/>
      <c r="AO44" s="355"/>
      <c r="AP44" s="355"/>
      <c r="AQ44" s="355"/>
      <c r="AR44" s="355"/>
      <c r="AS44" s="355"/>
      <c r="AT44" s="355"/>
      <c r="AU44" s="355"/>
      <c r="AV44" s="355"/>
      <c r="AW44" s="355"/>
      <c r="AX44" s="532" t="s">
        <v>459</v>
      </c>
      <c r="AY44" s="533"/>
      <c r="AZ44" s="533"/>
      <c r="BA44" s="533"/>
      <c r="BB44" s="533"/>
      <c r="BC44" s="533"/>
      <c r="BD44" s="533"/>
      <c r="BE44" s="533"/>
      <c r="BF44" s="528"/>
      <c r="BG44" s="355"/>
      <c r="BH44" s="360"/>
      <c r="BI44" s="361"/>
      <c r="BJ44" s="361"/>
      <c r="BK44" s="361"/>
      <c r="BL44" s="355"/>
      <c r="BM44" s="355"/>
      <c r="BN44" s="361"/>
      <c r="BO44" s="361"/>
      <c r="BP44" s="361"/>
      <c r="BQ44" s="361"/>
      <c r="BR44" s="361"/>
      <c r="BS44" s="361"/>
      <c r="BT44" s="361"/>
      <c r="BU44" s="91">
        <f t="shared" si="66"/>
        <v>2.3159595664946409</v>
      </c>
      <c r="BV44" s="92">
        <f t="shared" si="67"/>
        <v>-6.0639476247299626</v>
      </c>
      <c r="BW44" s="91">
        <f t="shared" si="68"/>
        <v>-7.7789052078430458</v>
      </c>
      <c r="BX44" s="92">
        <f t="shared" si="69"/>
        <v>7.4746445771583723</v>
      </c>
      <c r="BY44" s="91">
        <f t="shared" si="76"/>
        <v>-24.797637278494868</v>
      </c>
      <c r="BZ44" s="91">
        <f t="shared" si="70"/>
        <v>-24.797637278494868</v>
      </c>
      <c r="CA44" s="759" t="str">
        <f t="shared" si="71"/>
        <v>OK</v>
      </c>
      <c r="CB44" s="435">
        <f t="shared" si="72"/>
        <v>0</v>
      </c>
      <c r="CC44" s="759" t="str">
        <f t="shared" si="73"/>
        <v>OK</v>
      </c>
      <c r="CD44" s="93">
        <f t="shared" si="74"/>
        <v>0</v>
      </c>
      <c r="CE44" s="759" t="str">
        <f t="shared" si="75"/>
        <v>FORA</v>
      </c>
      <c r="CG44" s="355"/>
      <c r="CH44" s="355"/>
      <c r="CI44" s="355"/>
      <c r="CJ44" s="355"/>
      <c r="CK44" s="355"/>
      <c r="CL44" s="355"/>
      <c r="CM44" s="355"/>
      <c r="CN44" s="355"/>
      <c r="CO44" s="355"/>
      <c r="CP44" s="355"/>
      <c r="CQ44" s="355"/>
      <c r="CR44" s="355"/>
      <c r="CS44" s="355"/>
    </row>
    <row r="45" spans="1:98" ht="21.75" customHeight="1" x14ac:dyDescent="0.25">
      <c r="A45" s="220" t="s">
        <v>460</v>
      </c>
      <c r="B45" s="220"/>
      <c r="C45" s="221">
        <f>M34</f>
        <v>7375.523000000001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AK45" s="72"/>
      <c r="AM45" s="355"/>
      <c r="AN45" s="355"/>
      <c r="AO45" s="355"/>
      <c r="AP45" s="355"/>
      <c r="AQ45" s="355"/>
      <c r="AR45" s="355"/>
      <c r="AS45" s="355"/>
      <c r="AT45" s="355"/>
      <c r="AU45" s="355"/>
      <c r="AV45" s="355"/>
      <c r="AW45" s="355"/>
      <c r="AY45" s="362"/>
      <c r="AZ45" s="362"/>
      <c r="BA45" s="362"/>
      <c r="BB45" s="362"/>
      <c r="BC45" s="362"/>
      <c r="BD45" s="362"/>
      <c r="BE45" s="362"/>
      <c r="BF45" s="362"/>
      <c r="BG45" s="355"/>
      <c r="BH45" s="360"/>
      <c r="BI45" s="361"/>
      <c r="BJ45" s="361"/>
      <c r="BK45" s="361"/>
      <c r="BL45" s="355"/>
      <c r="BM45" s="355"/>
      <c r="BN45" s="355"/>
      <c r="BO45" s="355"/>
      <c r="BP45" s="355"/>
      <c r="BQ45" s="355"/>
      <c r="BR45" s="355"/>
      <c r="BS45" s="355"/>
      <c r="BT45" s="355"/>
      <c r="BU45" s="91">
        <f t="shared" si="66"/>
        <v>2.3868852200841673</v>
      </c>
      <c r="BV45" s="92">
        <f t="shared" si="67"/>
        <v>-6.2420381049299749</v>
      </c>
      <c r="BW45" s="91">
        <f t="shared" si="68"/>
        <v>-7.7661990239815015</v>
      </c>
      <c r="BX45" s="92">
        <f t="shared" si="69"/>
        <v>7.4574498901526454</v>
      </c>
      <c r="BY45" s="91">
        <f t="shared" si="76"/>
        <v>-22.913361041697456</v>
      </c>
      <c r="BZ45" s="91">
        <f t="shared" si="70"/>
        <v>-22.913361041697456</v>
      </c>
      <c r="CA45" s="759" t="str">
        <f t="shared" si="71"/>
        <v>OK</v>
      </c>
      <c r="CB45" s="435">
        <f t="shared" si="72"/>
        <v>0</v>
      </c>
      <c r="CC45" s="759" t="str">
        <f t="shared" si="73"/>
        <v>OK</v>
      </c>
      <c r="CD45" s="93">
        <f t="shared" si="74"/>
        <v>0</v>
      </c>
      <c r="CE45" s="759" t="str">
        <f t="shared" si="75"/>
        <v>FORA</v>
      </c>
      <c r="CG45" s="355"/>
      <c r="CH45" s="355"/>
      <c r="CI45" s="355"/>
      <c r="CJ45" s="355"/>
      <c r="CK45" s="355"/>
      <c r="CL45" s="355"/>
      <c r="CM45" s="355"/>
      <c r="CN45" s="355"/>
      <c r="CO45" s="355"/>
      <c r="CP45" s="355"/>
      <c r="CQ45" s="355"/>
      <c r="CR45" s="355"/>
      <c r="CS45" s="355"/>
    </row>
    <row r="46" spans="1:98" ht="21.75" customHeight="1" x14ac:dyDescent="0.25">
      <c r="A46" s="222" t="s">
        <v>461</v>
      </c>
      <c r="B46" s="220"/>
      <c r="C46" s="347">
        <f>AO34</f>
        <v>5917.3486010099996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S46" s="34"/>
      <c r="T46" s="109"/>
      <c r="U46" s="109"/>
      <c r="V46" s="109"/>
      <c r="W46" s="109"/>
      <c r="X46" s="109"/>
      <c r="Y46" s="109"/>
      <c r="Z46" s="109"/>
      <c r="AA46" s="109"/>
      <c r="AB46" s="109"/>
      <c r="AC46" s="109"/>
      <c r="AK46" s="80"/>
      <c r="AM46" s="355"/>
      <c r="AN46" s="355"/>
      <c r="AO46" s="355"/>
      <c r="AP46" s="355"/>
      <c r="AQ46" s="355"/>
      <c r="AR46" s="355"/>
      <c r="AS46" s="355"/>
      <c r="AT46" s="355"/>
      <c r="AU46" s="355"/>
      <c r="AV46" s="355"/>
      <c r="AW46" s="355"/>
      <c r="AX46" s="355"/>
      <c r="AY46" s="355"/>
      <c r="AZ46" s="355"/>
      <c r="BA46" s="355"/>
      <c r="BB46" s="355"/>
      <c r="BC46" s="355"/>
      <c r="BD46" s="355"/>
      <c r="BE46" s="355"/>
      <c r="BF46" s="355"/>
      <c r="BG46" s="355"/>
      <c r="BH46" s="360"/>
      <c r="BI46" s="362"/>
      <c r="BJ46" s="362"/>
      <c r="BK46" s="362"/>
      <c r="BL46" s="355"/>
      <c r="BM46" s="355"/>
      <c r="BN46" s="355"/>
      <c r="BO46" s="355"/>
      <c r="BP46" s="355"/>
      <c r="BQ46" s="355"/>
      <c r="BR46" s="355"/>
      <c r="BS46" s="355"/>
      <c r="BT46" s="355"/>
      <c r="BU46" s="91">
        <f t="shared" si="66"/>
        <v>1.868620141708166</v>
      </c>
      <c r="BV46" s="92">
        <f t="shared" si="67"/>
        <v>-4.9108119903999636</v>
      </c>
      <c r="BW46" s="91">
        <f t="shared" si="68"/>
        <v>-7.6141286210955395</v>
      </c>
      <c r="BX46" s="92">
        <f t="shared" si="69"/>
        <v>7.2982364264178301</v>
      </c>
      <c r="BY46" s="91">
        <f t="shared" si="76"/>
        <v>-76.177015235670325</v>
      </c>
      <c r="BZ46" s="91">
        <f t="shared" si="70"/>
        <v>-76.177015235670325</v>
      </c>
      <c r="CA46" s="759" t="str">
        <f t="shared" si="71"/>
        <v>OK</v>
      </c>
      <c r="CB46" s="435">
        <f t="shared" si="72"/>
        <v>0</v>
      </c>
      <c r="CC46" s="759" t="str">
        <f t="shared" si="73"/>
        <v>OK</v>
      </c>
      <c r="CD46" s="93">
        <f t="shared" si="74"/>
        <v>0</v>
      </c>
      <c r="CE46" s="759" t="str">
        <f t="shared" si="75"/>
        <v>FORA</v>
      </c>
      <c r="CG46" s="355"/>
      <c r="CH46" s="355"/>
      <c r="CI46" s="355"/>
      <c r="CJ46" s="355"/>
      <c r="CK46" s="355"/>
      <c r="CL46" s="355"/>
      <c r="CM46" s="355"/>
      <c r="CN46" s="355"/>
      <c r="CO46" s="355"/>
      <c r="CP46" s="355"/>
      <c r="CQ46" s="355"/>
      <c r="CR46" s="355"/>
      <c r="CS46" s="355"/>
    </row>
    <row r="47" spans="1:98" ht="21.75" customHeight="1" x14ac:dyDescent="0.25">
      <c r="A47" s="222" t="s">
        <v>462</v>
      </c>
      <c r="B47" s="220"/>
      <c r="C47" s="347">
        <f>AQ34</f>
        <v>1523.5213999999999</v>
      </c>
      <c r="D47" s="111"/>
      <c r="E47" s="111"/>
      <c r="F47" s="111"/>
      <c r="G47" s="111"/>
      <c r="H47" s="111"/>
      <c r="I47" s="111"/>
      <c r="J47" s="111"/>
      <c r="K47" s="28"/>
      <c r="L47" s="111"/>
      <c r="M47" s="111"/>
      <c r="N47" s="111"/>
      <c r="O47" s="111"/>
      <c r="P47" s="111"/>
      <c r="Q47" s="111"/>
      <c r="S47" s="34"/>
      <c r="AM47" s="355"/>
      <c r="AN47" s="355"/>
      <c r="AO47" s="355"/>
      <c r="AP47" s="355"/>
      <c r="AQ47" s="355"/>
      <c r="AR47" s="355"/>
      <c r="AS47" s="355"/>
      <c r="AT47" s="355"/>
      <c r="AU47" s="355"/>
      <c r="AV47" s="355"/>
      <c r="AW47" s="355"/>
      <c r="AX47" s="355"/>
      <c r="AY47" s="355"/>
      <c r="AZ47" s="355"/>
      <c r="BA47" s="355"/>
      <c r="BB47" s="355"/>
      <c r="BC47" s="355"/>
      <c r="BD47" s="355"/>
      <c r="BE47" s="355"/>
      <c r="BF47" s="355"/>
      <c r="BG47" s="355"/>
      <c r="BH47" s="360"/>
      <c r="BI47" s="362"/>
      <c r="BJ47" s="362"/>
      <c r="BK47" s="362"/>
      <c r="BL47" s="355"/>
      <c r="BM47" s="355"/>
      <c r="BN47" s="355"/>
      <c r="BO47" s="355"/>
      <c r="BP47" s="355"/>
      <c r="BQ47" s="355"/>
      <c r="BR47" s="355"/>
      <c r="BS47" s="355"/>
      <c r="BT47" s="355"/>
      <c r="BU47" s="91">
        <f t="shared" si="66"/>
        <v>2.6061870795156761</v>
      </c>
      <c r="BV47" s="92">
        <f t="shared" si="67"/>
        <v>-6.8032367070799751</v>
      </c>
      <c r="BW47" s="91">
        <f t="shared" si="68"/>
        <v>-7.6218787699152912</v>
      </c>
      <c r="BX47" s="92">
        <f t="shared" si="69"/>
        <v>7.3098257737623413</v>
      </c>
      <c r="BY47" s="91">
        <f t="shared" si="76"/>
        <v>-74.587061659675186</v>
      </c>
      <c r="BZ47" s="91">
        <f t="shared" si="70"/>
        <v>-74.587061659675186</v>
      </c>
      <c r="CA47" s="759" t="str">
        <f t="shared" si="71"/>
        <v>OK</v>
      </c>
      <c r="CB47" s="435">
        <f t="shared" si="72"/>
        <v>0</v>
      </c>
      <c r="CC47" s="759" t="str">
        <f t="shared" si="73"/>
        <v>OK</v>
      </c>
      <c r="CD47" s="93">
        <f t="shared" si="74"/>
        <v>0</v>
      </c>
      <c r="CE47" s="759" t="str">
        <f t="shared" si="75"/>
        <v>FORA</v>
      </c>
      <c r="CG47" s="355"/>
      <c r="CH47" s="355"/>
      <c r="CI47" s="355"/>
      <c r="CJ47" s="355"/>
      <c r="CK47" s="355"/>
      <c r="CL47" s="355"/>
      <c r="CM47" s="355"/>
      <c r="CN47" s="355"/>
      <c r="CO47" s="355"/>
      <c r="CP47" s="355"/>
      <c r="CQ47" s="355"/>
      <c r="CR47" s="355"/>
      <c r="CS47" s="355"/>
    </row>
    <row r="48" spans="1:98" ht="21.75" customHeight="1" x14ac:dyDescent="0.25">
      <c r="A48" s="222" t="s">
        <v>463</v>
      </c>
      <c r="B48" s="220"/>
      <c r="C48" s="347">
        <f>AR34</f>
        <v>28.113000000000003</v>
      </c>
      <c r="D48" s="111"/>
      <c r="E48" s="111"/>
      <c r="F48" s="111"/>
      <c r="G48" s="111"/>
      <c r="H48" s="111"/>
      <c r="I48" s="111"/>
      <c r="J48" s="111"/>
      <c r="K48" s="148"/>
      <c r="L48" s="111"/>
      <c r="M48" s="111"/>
      <c r="N48" s="111"/>
      <c r="O48" s="111"/>
      <c r="P48" s="111"/>
      <c r="Q48" s="111"/>
      <c r="S48" s="34"/>
      <c r="AK48" s="80"/>
      <c r="AM48" s="355"/>
      <c r="AN48" s="355"/>
      <c r="AO48" s="355"/>
      <c r="AP48" s="355"/>
      <c r="AQ48" s="355"/>
      <c r="AR48" s="355"/>
      <c r="AS48" s="355"/>
      <c r="AT48" s="355"/>
      <c r="AU48" s="355"/>
      <c r="AV48" s="355"/>
      <c r="AW48" s="355"/>
      <c r="AX48" s="355"/>
      <c r="AY48" s="355"/>
      <c r="AZ48" s="355"/>
      <c r="BA48" s="355"/>
      <c r="BB48" s="355"/>
      <c r="BC48" s="355"/>
      <c r="BD48" s="355"/>
      <c r="BE48" s="355"/>
      <c r="BF48" s="355"/>
      <c r="BG48" s="355"/>
      <c r="BH48" s="355"/>
      <c r="BI48" s="355"/>
      <c r="BJ48" s="355"/>
      <c r="BK48" s="355"/>
      <c r="BL48" s="355"/>
      <c r="BM48" s="355"/>
      <c r="BN48" s="355"/>
      <c r="BO48" s="355"/>
      <c r="BP48" s="355"/>
      <c r="BQ48" s="355"/>
      <c r="BR48" s="355"/>
      <c r="BS48" s="355"/>
      <c r="BT48" s="355"/>
      <c r="BU48" s="91">
        <f t="shared" si="66"/>
        <v>2.0272805612015832</v>
      </c>
      <c r="BV48" s="92">
        <f t="shared" si="67"/>
        <v>-5.3188373952399957</v>
      </c>
      <c r="BW48" s="91">
        <f t="shared" si="68"/>
        <v>-7.6945161323084825</v>
      </c>
      <c r="BX48" s="92">
        <f t="shared" si="69"/>
        <v>7.3808782897399965</v>
      </c>
      <c r="BY48" s="91">
        <f t="shared" si="76"/>
        <v>-92.851175332160977</v>
      </c>
      <c r="BZ48" s="91">
        <f t="shared" si="70"/>
        <v>-92.851175332160977</v>
      </c>
      <c r="CA48" s="759" t="str">
        <f t="shared" si="71"/>
        <v>OK</v>
      </c>
      <c r="CB48" s="435">
        <f t="shared" si="72"/>
        <v>0</v>
      </c>
      <c r="CC48" s="759" t="str">
        <f t="shared" si="73"/>
        <v>OK</v>
      </c>
      <c r="CD48" s="93">
        <f t="shared" si="74"/>
        <v>0</v>
      </c>
      <c r="CE48" s="759" t="str">
        <f t="shared" si="75"/>
        <v>FORA</v>
      </c>
      <c r="CG48" s="355"/>
      <c r="CH48" s="355"/>
      <c r="CI48" s="355"/>
      <c r="CJ48" s="355"/>
      <c r="CK48" s="355"/>
      <c r="CL48" s="355"/>
      <c r="CM48" s="355"/>
      <c r="CN48" s="355"/>
      <c r="CO48" s="355"/>
      <c r="CP48" s="355"/>
      <c r="CQ48" s="355"/>
      <c r="CR48" s="355"/>
      <c r="CS48" s="355"/>
    </row>
    <row r="49" spans="1:97" ht="21.75" customHeight="1" x14ac:dyDescent="0.25">
      <c r="A49" s="222" t="s">
        <v>464</v>
      </c>
      <c r="B49" s="220"/>
      <c r="C49" s="347">
        <f>AS34</f>
        <v>7440.8700010100001</v>
      </c>
      <c r="D49" s="111"/>
      <c r="E49" s="111"/>
      <c r="F49" s="111"/>
      <c r="G49" s="111"/>
      <c r="H49" s="111"/>
      <c r="I49" s="111"/>
      <c r="J49" s="111"/>
      <c r="K49" s="149"/>
      <c r="L49" s="111"/>
      <c r="M49" s="111"/>
      <c r="N49" s="111"/>
      <c r="O49" s="111"/>
      <c r="P49" s="111"/>
      <c r="Q49" s="111"/>
      <c r="S49" s="34"/>
      <c r="AK49" s="80"/>
      <c r="AM49" s="355"/>
      <c r="AN49" s="355"/>
      <c r="AO49" s="355"/>
      <c r="AP49" s="355"/>
      <c r="AQ49" s="355"/>
      <c r="AR49" s="355"/>
      <c r="AS49" s="355"/>
      <c r="AT49" s="355"/>
      <c r="AU49" s="355"/>
      <c r="AV49" s="355"/>
      <c r="AW49" s="355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55"/>
      <c r="BI49" s="355"/>
      <c r="BJ49" s="355"/>
      <c r="BK49" s="355"/>
      <c r="BL49" s="355"/>
      <c r="BM49" s="355"/>
      <c r="BN49" s="355"/>
      <c r="BO49" s="355"/>
      <c r="BP49" s="355"/>
      <c r="BQ49" s="355"/>
      <c r="BR49" s="355"/>
      <c r="BS49" s="355"/>
      <c r="BT49" s="355"/>
      <c r="BU49" s="91">
        <f t="shared" si="66"/>
        <v>2.5938990039658938</v>
      </c>
      <c r="BV49" s="92">
        <f t="shared" si="67"/>
        <v>-6.7686586111800011</v>
      </c>
      <c r="BW49" s="91">
        <f t="shared" si="68"/>
        <v>-7.5601992900318438</v>
      </c>
      <c r="BX49" s="92">
        <f t="shared" si="69"/>
        <v>7.2423168655533203</v>
      </c>
      <c r="BY49" s="91">
        <f t="shared" si="76"/>
        <v>-94.473419794916836</v>
      </c>
      <c r="BZ49" s="91">
        <f t="shared" si="70"/>
        <v>-94.473419794916836</v>
      </c>
      <c r="CA49" s="759" t="str">
        <f t="shared" si="71"/>
        <v>OK</v>
      </c>
      <c r="CB49" s="435">
        <f t="shared" si="72"/>
        <v>0</v>
      </c>
      <c r="CC49" s="759" t="str">
        <f t="shared" si="73"/>
        <v>OK</v>
      </c>
      <c r="CD49" s="93">
        <f t="shared" si="74"/>
        <v>0</v>
      </c>
      <c r="CE49" s="759" t="str">
        <f t="shared" si="75"/>
        <v>FORA</v>
      </c>
      <c r="CG49" s="355"/>
      <c r="CH49" s="355"/>
      <c r="CI49" s="355"/>
      <c r="CJ49" s="355"/>
      <c r="CK49" s="355"/>
      <c r="CL49" s="355"/>
      <c r="CM49" s="355"/>
      <c r="CN49" s="355"/>
      <c r="CO49" s="355"/>
      <c r="CP49" s="355"/>
      <c r="CQ49" s="355"/>
      <c r="CR49" s="355"/>
      <c r="CS49" s="355"/>
    </row>
    <row r="50" spans="1:97" ht="21.75" customHeight="1" x14ac:dyDescent="0.25">
      <c r="A50" s="222" t="s">
        <v>465</v>
      </c>
      <c r="B50" s="220"/>
      <c r="C50" s="347">
        <f>AT34</f>
        <v>7468.9830010099995</v>
      </c>
      <c r="D50" s="111"/>
      <c r="E50" s="111"/>
      <c r="F50" s="111"/>
      <c r="G50" s="111"/>
      <c r="H50" s="111"/>
      <c r="I50" s="111"/>
      <c r="J50" s="111"/>
      <c r="K50" s="150"/>
      <c r="L50" s="111"/>
      <c r="M50" s="111"/>
      <c r="N50" s="111"/>
      <c r="O50" s="111"/>
      <c r="P50" s="111"/>
      <c r="Q50" s="111"/>
      <c r="S50" s="34"/>
      <c r="AM50" s="355"/>
      <c r="AN50" s="355"/>
      <c r="AO50" s="355"/>
      <c r="AP50" s="355"/>
      <c r="AQ50" s="355"/>
      <c r="AR50" s="355"/>
      <c r="AS50" s="355"/>
      <c r="AT50" s="355"/>
      <c r="AU50" s="355"/>
      <c r="AV50" s="355"/>
      <c r="AW50" s="355"/>
      <c r="AX50" s="355"/>
      <c r="AY50" s="355"/>
      <c r="AZ50" s="355"/>
      <c r="BA50" s="355"/>
      <c r="BB50" s="355"/>
      <c r="BC50" s="355"/>
      <c r="BD50" s="355"/>
      <c r="BE50" s="355"/>
      <c r="BF50" s="355"/>
      <c r="BG50" s="355"/>
      <c r="BH50" s="355"/>
      <c r="BI50" s="363"/>
      <c r="BJ50" s="363"/>
      <c r="BK50" s="363"/>
      <c r="BL50" s="355"/>
      <c r="BM50" s="355"/>
      <c r="BN50" s="355"/>
      <c r="BO50" s="355"/>
      <c r="BP50" s="355"/>
      <c r="BQ50" s="355"/>
      <c r="BR50" s="355"/>
      <c r="BS50" s="355"/>
      <c r="BT50" s="355"/>
      <c r="BU50" s="91">
        <f t="shared" si="66"/>
        <v>2.7240858258674505</v>
      </c>
      <c r="BV50" s="92">
        <f t="shared" si="67"/>
        <v>-7.1020711810199941</v>
      </c>
      <c r="BW50" s="91">
        <f t="shared" si="68"/>
        <v>-7.7142763144941506</v>
      </c>
      <c r="BX50" s="92">
        <f t="shared" si="69"/>
        <v>7.4050954858516604</v>
      </c>
      <c r="BY50" s="91">
        <f t="shared" si="76"/>
        <v>-94.009341029788203</v>
      </c>
      <c r="BZ50" s="91">
        <f t="shared" si="70"/>
        <v>-94.009341029788203</v>
      </c>
      <c r="CA50" s="759" t="str">
        <f t="shared" si="71"/>
        <v>OK</v>
      </c>
      <c r="CB50" s="435">
        <f t="shared" si="72"/>
        <v>0</v>
      </c>
      <c r="CC50" s="759" t="str">
        <f t="shared" si="73"/>
        <v>OK</v>
      </c>
      <c r="CD50" s="93">
        <f t="shared" si="74"/>
        <v>0</v>
      </c>
      <c r="CE50" s="759" t="str">
        <f t="shared" si="75"/>
        <v>FORA</v>
      </c>
      <c r="CG50" s="355"/>
      <c r="CH50" s="355"/>
      <c r="CI50" s="355"/>
      <c r="CJ50" s="355"/>
      <c r="CK50" s="355"/>
      <c r="CL50" s="355"/>
      <c r="CM50" s="355"/>
      <c r="CN50" s="355"/>
      <c r="CO50" s="355"/>
      <c r="CP50" s="355"/>
      <c r="CQ50" s="355"/>
      <c r="CR50" s="355"/>
      <c r="CS50" s="355"/>
    </row>
    <row r="51" spans="1:97" ht="16.5" x14ac:dyDescent="0.25">
      <c r="K51" s="150"/>
      <c r="AM51" s="355"/>
      <c r="AN51" s="355"/>
      <c r="AO51" s="355"/>
      <c r="AP51" s="355"/>
      <c r="AQ51" s="355"/>
      <c r="AR51" s="355"/>
      <c r="AS51" s="355"/>
      <c r="AT51" s="355"/>
      <c r="AU51" s="355"/>
      <c r="AV51" s="355"/>
      <c r="AW51" s="355"/>
      <c r="AX51" s="355"/>
      <c r="AY51" s="355"/>
      <c r="AZ51" s="355"/>
      <c r="BA51" s="355"/>
      <c r="BB51" s="355"/>
      <c r="BC51" s="355"/>
      <c r="BD51" s="355"/>
      <c r="BE51" s="355"/>
      <c r="BF51" s="355"/>
      <c r="BG51" s="355"/>
      <c r="BH51" s="355"/>
      <c r="BI51" s="355"/>
      <c r="BJ51" s="355"/>
      <c r="BK51" s="355"/>
      <c r="BL51" s="355"/>
      <c r="BM51" s="355"/>
      <c r="BN51" s="355"/>
      <c r="BO51" s="355"/>
      <c r="BP51" s="355"/>
      <c r="BQ51" s="355"/>
      <c r="BR51" s="355"/>
      <c r="BS51" s="355"/>
      <c r="BT51" s="355"/>
      <c r="BU51" s="91">
        <f t="shared" si="66"/>
        <v>2.1461450539290494</v>
      </c>
      <c r="BV51" s="92">
        <f t="shared" si="67"/>
        <v>-5.623532457500005</v>
      </c>
      <c r="BW51" s="91">
        <f t="shared" si="68"/>
        <v>-7.5775123590587583</v>
      </c>
      <c r="BX51" s="92">
        <f t="shared" si="69"/>
        <v>7.2586219956643134</v>
      </c>
      <c r="BY51" s="91">
        <f t="shared" si="76"/>
        <v>-90.08394559804654</v>
      </c>
      <c r="BZ51" s="91">
        <f t="shared" si="70"/>
        <v>-90.08394559804654</v>
      </c>
      <c r="CA51" s="759" t="str">
        <f t="shared" si="71"/>
        <v>OK</v>
      </c>
      <c r="CB51" s="435">
        <f t="shared" si="72"/>
        <v>0</v>
      </c>
      <c r="CC51" s="759" t="str">
        <f t="shared" si="73"/>
        <v>OK</v>
      </c>
      <c r="CD51" s="93">
        <f t="shared" si="74"/>
        <v>0</v>
      </c>
      <c r="CE51" s="759" t="str">
        <f t="shared" si="75"/>
        <v>FORA</v>
      </c>
      <c r="CG51" s="355"/>
      <c r="CH51" s="355"/>
      <c r="CI51" s="355"/>
      <c r="CJ51" s="355"/>
      <c r="CK51" s="355"/>
      <c r="CL51" s="355"/>
      <c r="CM51" s="355"/>
      <c r="CN51" s="355"/>
      <c r="CO51" s="355"/>
      <c r="CP51" s="355"/>
      <c r="CQ51" s="355"/>
      <c r="CR51" s="355"/>
      <c r="CS51" s="355"/>
    </row>
    <row r="52" spans="1:97" ht="16.5" hidden="1" x14ac:dyDescent="0.25">
      <c r="K52" s="150"/>
      <c r="AJ52" s="141"/>
      <c r="AM52" s="355"/>
      <c r="AN52" s="355"/>
      <c r="AO52" s="355"/>
      <c r="AP52" s="355"/>
      <c r="AQ52" s="355"/>
      <c r="AR52" s="355"/>
      <c r="AS52" s="355"/>
      <c r="AT52" s="355"/>
      <c r="AU52" s="355"/>
      <c r="AV52" s="355"/>
      <c r="AW52" s="355"/>
      <c r="AX52" s="355"/>
      <c r="AY52" s="355"/>
      <c r="AZ52" s="355"/>
      <c r="BA52" s="355"/>
      <c r="BB52" s="355"/>
      <c r="BC52" s="355"/>
      <c r="BD52" s="355"/>
      <c r="BE52" s="355"/>
      <c r="BF52" s="355"/>
      <c r="BG52" s="355"/>
      <c r="BH52" s="355"/>
      <c r="BI52" s="355"/>
      <c r="BJ52" s="355"/>
      <c r="BK52" s="355"/>
      <c r="BL52" s="355"/>
      <c r="BM52" s="355"/>
      <c r="BN52" s="355"/>
      <c r="BO52" s="355"/>
      <c r="BP52" s="355"/>
      <c r="BQ52" s="355"/>
      <c r="BR52" s="355"/>
      <c r="BS52" s="355"/>
      <c r="BT52" s="355"/>
      <c r="BU52" s="91">
        <f t="shared" si="66"/>
        <v>1.9892944128070189</v>
      </c>
      <c r="BV52" s="92">
        <f t="shared" si="67"/>
        <v>-5.2178232952499002</v>
      </c>
      <c r="BW52" s="91">
        <f t="shared" si="68"/>
        <v>-7.6797105407355399</v>
      </c>
      <c r="BX52" s="92">
        <f t="shared" si="69"/>
        <v>7.3608363946682971</v>
      </c>
      <c r="BY52" s="91">
        <f t="shared" si="76"/>
        <v>-92.732263823201365</v>
      </c>
      <c r="BZ52" s="91">
        <f t="shared" si="70"/>
        <v>-92.732263823201365</v>
      </c>
      <c r="CA52" s="759" t="str">
        <f t="shared" si="71"/>
        <v>OK</v>
      </c>
      <c r="CB52" s="435">
        <f t="shared" si="72"/>
        <v>0</v>
      </c>
      <c r="CC52" s="759" t="str">
        <f t="shared" si="73"/>
        <v>OK</v>
      </c>
      <c r="CD52" s="93">
        <f t="shared" si="74"/>
        <v>0</v>
      </c>
      <c r="CE52" s="759" t="str">
        <f t="shared" si="75"/>
        <v>FORA</v>
      </c>
      <c r="CG52" s="355"/>
      <c r="CH52" s="355"/>
      <c r="CI52" s="355"/>
      <c r="CJ52" s="355"/>
      <c r="CK52" s="355"/>
      <c r="CL52" s="355"/>
      <c r="CM52" s="355"/>
      <c r="CN52" s="355"/>
      <c r="CO52" s="355"/>
      <c r="CP52" s="355"/>
      <c r="CQ52" s="355"/>
      <c r="CR52" s="355"/>
      <c r="CS52" s="355"/>
    </row>
    <row r="53" spans="1:97" ht="21" customHeight="1" thickBot="1" x14ac:dyDescent="0.3">
      <c r="A53" s="800" t="s">
        <v>58</v>
      </c>
      <c r="B53" s="800"/>
      <c r="C53" s="800"/>
      <c r="D53" s="800"/>
      <c r="E53" s="800"/>
      <c r="F53" s="233"/>
      <c r="G53" s="233"/>
      <c r="H53" s="233"/>
      <c r="I53" s="233"/>
      <c r="J53" s="233"/>
      <c r="K53" s="233"/>
      <c r="L53" s="233"/>
      <c r="M53" s="813" t="s">
        <v>466</v>
      </c>
      <c r="N53" s="813"/>
      <c r="O53" s="233"/>
      <c r="P53" s="801" t="s">
        <v>467</v>
      </c>
      <c r="Q53" s="801"/>
      <c r="R53" s="801"/>
      <c r="S53" s="801"/>
      <c r="T53" s="233"/>
      <c r="U53" s="233"/>
      <c r="V53" s="802" t="s">
        <v>468</v>
      </c>
      <c r="W53" s="802"/>
      <c r="X53" s="802"/>
      <c r="Y53" s="802"/>
      <c r="Z53" s="233"/>
      <c r="AA53" s="803" t="s">
        <v>469</v>
      </c>
      <c r="AB53" s="803"/>
      <c r="AC53" s="803"/>
      <c r="AD53" s="233"/>
      <c r="AE53" s="233"/>
      <c r="AF53" s="233"/>
      <c r="AG53" s="233"/>
      <c r="AH53" s="233"/>
      <c r="AI53" s="233"/>
      <c r="AJ53" s="217"/>
      <c r="AM53" s="355"/>
      <c r="AN53" s="355"/>
      <c r="AO53" s="355"/>
      <c r="AP53" s="355"/>
      <c r="AQ53" s="355"/>
      <c r="AR53" s="355"/>
      <c r="AS53" s="355"/>
      <c r="AT53" s="355"/>
      <c r="AU53" s="355"/>
      <c r="AV53" s="355"/>
      <c r="AW53" s="365"/>
      <c r="AX53" s="365"/>
      <c r="AY53" s="365"/>
      <c r="AZ53" s="365"/>
      <c r="BA53" s="365"/>
      <c r="BB53" s="365"/>
      <c r="BC53" s="365"/>
      <c r="BD53" s="365"/>
      <c r="BE53" s="365"/>
      <c r="BF53" s="365"/>
      <c r="BG53" s="365"/>
      <c r="BH53" s="365"/>
      <c r="BI53" s="365"/>
      <c r="BJ53" s="365"/>
      <c r="BK53" s="365"/>
      <c r="BL53" s="365"/>
      <c r="BM53" s="365"/>
      <c r="BN53" s="365"/>
      <c r="BO53" s="365"/>
      <c r="BP53" s="365"/>
      <c r="BQ53" s="365"/>
      <c r="BR53" s="365"/>
      <c r="BS53" s="365"/>
      <c r="BT53" s="365"/>
      <c r="BU53" s="91">
        <f t="shared" si="66"/>
        <v>2.1070262661666783</v>
      </c>
      <c r="BV53" s="92">
        <f t="shared" si="67"/>
        <v>-5.5141065634999222</v>
      </c>
      <c r="BW53" s="91">
        <f t="shared" si="68"/>
        <v>-7.8782482337465982</v>
      </c>
      <c r="BX53" s="92">
        <f t="shared" si="69"/>
        <v>7.5589379438991813</v>
      </c>
      <c r="BY53" s="91">
        <f t="shared" si="76"/>
        <v>-94.083240046968854</v>
      </c>
      <c r="BZ53" s="91">
        <f t="shared" si="70"/>
        <v>-94.083240046968854</v>
      </c>
      <c r="CA53" s="759" t="str">
        <f t="shared" si="71"/>
        <v>OK</v>
      </c>
      <c r="CB53" s="435">
        <f t="shared" si="72"/>
        <v>0</v>
      </c>
      <c r="CC53" s="759" t="str">
        <f t="shared" si="73"/>
        <v>OK</v>
      </c>
      <c r="CD53" s="93" t="e">
        <f t="shared" si="74"/>
        <v>#VALUE!</v>
      </c>
      <c r="CE53" s="759" t="str">
        <f t="shared" si="75"/>
        <v>FORA</v>
      </c>
      <c r="CG53" s="366"/>
      <c r="CH53" s="355"/>
      <c r="CI53" s="355"/>
      <c r="CJ53" s="355"/>
      <c r="CK53" s="355"/>
      <c r="CL53" s="355"/>
      <c r="CM53" s="355"/>
      <c r="CN53" s="355"/>
      <c r="CO53" s="355"/>
      <c r="CP53" s="355"/>
      <c r="CQ53" s="355"/>
      <c r="CR53" s="355"/>
      <c r="CS53" s="355"/>
    </row>
    <row r="54" spans="1:97" s="218" customFormat="1" ht="29.25" customHeight="1" thickBot="1" x14ac:dyDescent="0.3">
      <c r="A54" s="294" t="s">
        <v>59</v>
      </c>
      <c r="B54" s="295"/>
      <c r="C54" s="296" t="s">
        <v>60</v>
      </c>
      <c r="D54" s="296" t="s">
        <v>61</v>
      </c>
      <c r="E54" s="297" t="s">
        <v>62</v>
      </c>
      <c r="F54" s="804" t="s">
        <v>470</v>
      </c>
      <c r="G54" s="805"/>
      <c r="H54" s="806"/>
      <c r="I54" s="216"/>
      <c r="J54" s="216"/>
      <c r="K54" s="216"/>
      <c r="L54" s="216"/>
      <c r="M54" s="299" t="s">
        <v>471</v>
      </c>
      <c r="N54" s="300" t="s">
        <v>472</v>
      </c>
      <c r="O54" s="216"/>
      <c r="P54" s="299" t="s">
        <v>473</v>
      </c>
      <c r="Q54" s="305" t="s">
        <v>474</v>
      </c>
      <c r="R54" s="306" t="s">
        <v>475</v>
      </c>
      <c r="S54" s="307" t="s">
        <v>476</v>
      </c>
      <c r="T54" s="343" t="s">
        <v>185</v>
      </c>
      <c r="U54" s="324" t="s">
        <v>477</v>
      </c>
      <c r="V54" s="323" t="s">
        <v>478</v>
      </c>
      <c r="W54" s="316" t="s">
        <v>479</v>
      </c>
      <c r="X54" s="324" t="s">
        <v>480</v>
      </c>
      <c r="Y54" s="216"/>
      <c r="Z54" s="216"/>
      <c r="AA54" s="310" t="s">
        <v>481</v>
      </c>
      <c r="AB54" s="296" t="s">
        <v>482</v>
      </c>
      <c r="AC54" s="311" t="s">
        <v>483</v>
      </c>
      <c r="AD54" s="285"/>
      <c r="AE54" s="216"/>
      <c r="AF54" s="216"/>
      <c r="AG54" s="216"/>
      <c r="AH54" s="216"/>
      <c r="AI54" s="216"/>
      <c r="AJ54" s="81"/>
      <c r="AK54" s="28"/>
      <c r="AL54" s="28"/>
      <c r="AM54" s="355"/>
      <c r="AN54" s="355"/>
      <c r="AO54" s="355"/>
      <c r="AP54" s="355"/>
      <c r="AQ54" s="355"/>
      <c r="AR54" s="355"/>
      <c r="AS54" s="355"/>
      <c r="AT54" s="355"/>
      <c r="AU54" s="367"/>
      <c r="AV54" s="367"/>
      <c r="AW54" s="368"/>
      <c r="AX54" s="368"/>
      <c r="AY54" s="368"/>
      <c r="AZ54" s="368"/>
      <c r="BA54" s="368"/>
      <c r="BB54" s="368"/>
      <c r="BC54" s="368"/>
      <c r="BD54" s="368"/>
      <c r="BE54" s="368"/>
      <c r="BF54" s="368"/>
      <c r="BG54" s="368"/>
      <c r="BH54" s="368"/>
      <c r="BI54" s="368"/>
      <c r="BJ54" s="368"/>
      <c r="BK54" s="368"/>
      <c r="BL54" s="368"/>
      <c r="BM54" s="368"/>
      <c r="BN54" s="368"/>
      <c r="BO54" s="368"/>
      <c r="BP54" s="368"/>
      <c r="BQ54" s="368"/>
      <c r="BR54" s="368"/>
      <c r="BS54" s="368"/>
      <c r="BT54" s="368"/>
      <c r="BU54" s="91">
        <f t="shared" si="66"/>
        <v>2.3454643587434987</v>
      </c>
      <c r="BV54" s="92">
        <f t="shared" si="67"/>
        <v>-6.126482320249977</v>
      </c>
      <c r="BW54" s="91">
        <f t="shared" si="68"/>
        <v>-7.569974922709255</v>
      </c>
      <c r="BX54" s="92">
        <f t="shared" si="69"/>
        <v>7.2421290801410265</v>
      </c>
      <c r="BY54" s="91">
        <f t="shared" si="76"/>
        <v>-93.282253725761677</v>
      </c>
      <c r="BZ54" s="91">
        <f t="shared" si="70"/>
        <v>-93.282253725761677</v>
      </c>
      <c r="CA54" s="759" t="str">
        <f t="shared" si="71"/>
        <v>OK</v>
      </c>
      <c r="CB54" s="435" t="e">
        <f t="shared" si="72"/>
        <v>#VALUE!</v>
      </c>
      <c r="CC54" s="759" t="str">
        <f t="shared" si="73"/>
        <v>OK</v>
      </c>
      <c r="CD54" s="93" t="e">
        <f t="shared" si="74"/>
        <v>#VALUE!</v>
      </c>
      <c r="CE54" s="759" t="str">
        <f t="shared" si="75"/>
        <v>FORA</v>
      </c>
      <c r="CF54" s="28"/>
      <c r="CG54" s="368"/>
      <c r="CH54" s="367"/>
      <c r="CI54" s="367"/>
      <c r="CJ54" s="367"/>
      <c r="CK54" s="367"/>
      <c r="CL54" s="367"/>
      <c r="CM54" s="367"/>
      <c r="CN54" s="367"/>
      <c r="CO54" s="367"/>
      <c r="CP54" s="367"/>
      <c r="CQ54" s="367"/>
      <c r="CR54" s="367"/>
      <c r="CS54" s="367"/>
    </row>
    <row r="55" spans="1:97" ht="49.5" customHeight="1" thickBot="1" x14ac:dyDescent="0.3">
      <c r="A55" s="255" t="s">
        <v>484</v>
      </c>
      <c r="B55" s="274"/>
      <c r="C55" s="287">
        <v>0</v>
      </c>
      <c r="D55" s="287">
        <v>0</v>
      </c>
      <c r="E55" s="288">
        <v>0</v>
      </c>
      <c r="F55" s="807"/>
      <c r="G55" s="808"/>
      <c r="H55" s="809"/>
      <c r="K55" s="81"/>
      <c r="M55" s="301" t="s">
        <v>485</v>
      </c>
      <c r="N55" s="303" t="s">
        <v>486</v>
      </c>
      <c r="P55" s="180">
        <v>46108.5</v>
      </c>
      <c r="Q55" s="171">
        <v>7.0000000000000007E-2</v>
      </c>
      <c r="R55" s="171">
        <v>767.93</v>
      </c>
      <c r="S55" s="170">
        <v>862.3</v>
      </c>
      <c r="T55" s="702">
        <v>795.59427594747171</v>
      </c>
      <c r="U55" s="170">
        <v>838.81299999999999</v>
      </c>
      <c r="V55" s="314">
        <v>0.84030000000000005</v>
      </c>
      <c r="W55" s="292">
        <v>72.69</v>
      </c>
      <c r="X55" s="325"/>
      <c r="AA55" s="169" t="s">
        <v>487</v>
      </c>
      <c r="AB55" s="227"/>
      <c r="AC55" s="312"/>
      <c r="AD55" s="799" t="s">
        <v>488</v>
      </c>
      <c r="AM55" s="355"/>
      <c r="AN55" s="355"/>
      <c r="AO55" s="355"/>
      <c r="AP55" s="355"/>
      <c r="AQ55" s="355"/>
      <c r="AR55" s="355"/>
      <c r="AS55" s="355"/>
      <c r="AT55" s="355"/>
      <c r="AU55" s="355"/>
      <c r="AV55" s="355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55"/>
      <c r="BJ55" s="355"/>
      <c r="BK55" s="355"/>
      <c r="BL55" s="362"/>
      <c r="BM55" s="362"/>
      <c r="BN55" s="362"/>
      <c r="BO55" s="362"/>
      <c r="BP55" s="362"/>
      <c r="BQ55" s="362"/>
      <c r="BR55" s="362"/>
      <c r="BS55" s="362"/>
      <c r="BT55" s="362"/>
      <c r="BU55" s="91">
        <f t="shared" si="66"/>
        <v>2.3984203580449837</v>
      </c>
      <c r="BV55" s="92">
        <f t="shared" si="67"/>
        <v>-6.2641428954999583</v>
      </c>
      <c r="BW55" s="91">
        <f t="shared" si="68"/>
        <v>-7.5979162000144544</v>
      </c>
      <c r="BX55" s="92">
        <f t="shared" si="69"/>
        <v>7.2740184329261126</v>
      </c>
      <c r="BY55" s="91">
        <f t="shared" si="76"/>
        <v>-93.395784446659619</v>
      </c>
      <c r="BZ55" s="91">
        <f t="shared" si="70"/>
        <v>-93.395784446659619</v>
      </c>
      <c r="CA55" s="759" t="str">
        <f t="shared" si="71"/>
        <v>OK</v>
      </c>
      <c r="CB55" s="435">
        <f t="shared" si="72"/>
        <v>-838.81299999999999</v>
      </c>
      <c r="CC55" s="759" t="str">
        <f t="shared" si="73"/>
        <v>OK</v>
      </c>
      <c r="CD55" s="93">
        <f t="shared" si="74"/>
        <v>-0.84030000000000005</v>
      </c>
      <c r="CE55" s="759" t="str">
        <f t="shared" si="75"/>
        <v>FORA</v>
      </c>
      <c r="CG55" s="362"/>
      <c r="CH55" s="355"/>
      <c r="CI55" s="355"/>
      <c r="CJ55" s="355"/>
      <c r="CK55" s="355"/>
      <c r="CL55" s="355"/>
      <c r="CM55" s="355"/>
      <c r="CN55" s="355"/>
      <c r="CO55" s="355"/>
      <c r="CP55" s="355"/>
      <c r="CQ55" s="355"/>
      <c r="CR55" s="355"/>
      <c r="CS55" s="355"/>
    </row>
    <row r="56" spans="1:97" ht="35.25" customHeight="1" x14ac:dyDescent="0.25">
      <c r="A56" s="264" t="s">
        <v>489</v>
      </c>
      <c r="B56" s="158"/>
      <c r="C56" s="261">
        <f>F35</f>
        <v>2.4469250001474565E-2</v>
      </c>
      <c r="D56" s="261">
        <f>F36</f>
        <v>4.0580106991498159E-2</v>
      </c>
      <c r="E56" s="320">
        <f>F34</f>
        <v>3.6323436469587009E-2</v>
      </c>
      <c r="F56" s="807"/>
      <c r="G56" s="808"/>
      <c r="H56" s="809"/>
      <c r="K56" s="28"/>
      <c r="M56" s="301" t="s">
        <v>490</v>
      </c>
      <c r="N56" s="303" t="s">
        <v>491</v>
      </c>
      <c r="O56" s="112"/>
      <c r="P56" s="180">
        <v>46108.541666666664</v>
      </c>
      <c r="Q56" s="166">
        <v>7.0000000000000007E-2</v>
      </c>
      <c r="R56" s="166">
        <v>767.93</v>
      </c>
      <c r="S56" s="170">
        <v>862.3</v>
      </c>
      <c r="T56" s="702">
        <v>795.59427594747171</v>
      </c>
      <c r="U56" s="170"/>
      <c r="Y56" s="80"/>
      <c r="Z56" s="80"/>
      <c r="AA56" s="169" t="s">
        <v>492</v>
      </c>
      <c r="AB56" s="286"/>
      <c r="AC56" s="313"/>
      <c r="AD56" s="799"/>
      <c r="AE56" s="80"/>
      <c r="AF56" s="80"/>
      <c r="AG56" s="80"/>
      <c r="AH56" s="80"/>
      <c r="AI56" s="80"/>
      <c r="AJ56" s="80"/>
      <c r="AK56" s="80"/>
      <c r="AL56" s="81"/>
      <c r="AM56" s="362"/>
      <c r="AN56" s="362"/>
      <c r="AO56" s="362"/>
      <c r="AP56" s="362"/>
      <c r="AQ56" s="355"/>
      <c r="AR56" s="362"/>
      <c r="AS56" s="355"/>
      <c r="AT56" s="355"/>
      <c r="AU56" s="355"/>
      <c r="AV56" s="355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9"/>
      <c r="BJ56" s="369"/>
      <c r="BK56" s="369"/>
      <c r="BL56" s="369"/>
      <c r="BM56" s="369"/>
      <c r="BN56" s="369"/>
      <c r="BO56" s="369"/>
      <c r="BP56" s="369"/>
      <c r="BQ56" s="369"/>
      <c r="BR56" s="369"/>
      <c r="BS56" s="369"/>
      <c r="BT56" s="369"/>
      <c r="BU56" s="91">
        <f t="shared" si="66"/>
        <v>2.313279258534795</v>
      </c>
      <c r="BV56" s="92">
        <f t="shared" si="67"/>
        <v>-6.0478861918000462</v>
      </c>
      <c r="BW56" s="91">
        <f t="shared" si="68"/>
        <v>-7.6611697203201707</v>
      </c>
      <c r="BX56" s="92">
        <f t="shared" si="69"/>
        <v>7.3409272527180462</v>
      </c>
      <c r="BY56" s="91">
        <f t="shared" si="76"/>
        <v>-92.992834411537359</v>
      </c>
      <c r="BZ56" s="91">
        <f t="shared" si="70"/>
        <v>-92.992834411537359</v>
      </c>
      <c r="CA56" s="759" t="str">
        <f t="shared" si="71"/>
        <v>OK</v>
      </c>
      <c r="CB56" s="435">
        <f t="shared" si="72"/>
        <v>0</v>
      </c>
      <c r="CC56" s="759" t="str">
        <f t="shared" si="73"/>
        <v>OK</v>
      </c>
      <c r="CD56" s="93">
        <f t="shared" si="74"/>
        <v>0</v>
      </c>
      <c r="CE56" s="759" t="str">
        <f t="shared" si="75"/>
        <v>FORA</v>
      </c>
      <c r="CG56" s="362"/>
      <c r="CH56" s="355"/>
      <c r="CI56" s="355"/>
      <c r="CJ56" s="355"/>
      <c r="CK56" s="355"/>
      <c r="CL56" s="355"/>
      <c r="CM56" s="355"/>
      <c r="CN56" s="355"/>
      <c r="CO56" s="355"/>
      <c r="CP56" s="355"/>
      <c r="CQ56" s="355"/>
      <c r="CR56" s="355"/>
      <c r="CS56" s="355"/>
    </row>
    <row r="57" spans="1:97" ht="45" customHeight="1" thickBot="1" x14ac:dyDescent="0.3">
      <c r="A57" s="264" t="s">
        <v>493</v>
      </c>
      <c r="B57" s="223"/>
      <c r="C57" s="261">
        <f>E35</f>
        <v>2.446923436863872E-2</v>
      </c>
      <c r="D57" s="261">
        <f>E36</f>
        <v>4.0580089495429315E-2</v>
      </c>
      <c r="E57" s="320">
        <f>E34</f>
        <v>3.6323504484612558E-2</v>
      </c>
      <c r="F57" s="807"/>
      <c r="G57" s="808"/>
      <c r="H57" s="809"/>
      <c r="K57" s="80"/>
      <c r="M57" s="304" t="s">
        <v>494</v>
      </c>
      <c r="N57" s="293" t="s">
        <v>495</v>
      </c>
      <c r="O57" s="112"/>
      <c r="P57" s="180">
        <v>46108.58333321759</v>
      </c>
      <c r="Q57" s="166">
        <v>7.0000000000000007E-2</v>
      </c>
      <c r="R57" s="166">
        <v>767.93</v>
      </c>
      <c r="S57" s="170">
        <v>862.3</v>
      </c>
      <c r="T57" s="702">
        <v>795.59427594747206</v>
      </c>
      <c r="U57" s="170"/>
      <c r="Y57" s="80"/>
      <c r="Z57" s="80"/>
      <c r="AA57" s="314" t="s">
        <v>496</v>
      </c>
      <c r="AB57" s="315"/>
      <c r="AC57" s="293"/>
      <c r="AD57" s="799"/>
      <c r="AE57" s="80"/>
      <c r="AF57" s="80"/>
      <c r="AG57" s="80"/>
      <c r="AH57" s="80"/>
      <c r="AI57" s="80"/>
      <c r="AJ57" s="80"/>
      <c r="AK57" s="80"/>
      <c r="AL57" s="81"/>
      <c r="AM57" s="362"/>
      <c r="AN57" s="362"/>
      <c r="AO57" s="362"/>
      <c r="AP57" s="362"/>
      <c r="AQ57" s="355"/>
      <c r="AR57" s="362"/>
      <c r="AS57" s="362"/>
      <c r="AT57" s="355"/>
      <c r="AU57" s="355"/>
      <c r="AV57" s="355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62"/>
      <c r="BI57" s="372"/>
      <c r="BJ57" s="372"/>
      <c r="BK57" s="372"/>
      <c r="BL57" s="372"/>
      <c r="BM57" s="372"/>
      <c r="BN57" s="372"/>
      <c r="BO57" s="372"/>
      <c r="BP57" s="372"/>
      <c r="BQ57" s="372"/>
      <c r="BR57" s="372"/>
      <c r="BS57" s="372"/>
      <c r="BT57" s="372"/>
      <c r="BU57" s="91">
        <f t="shared" si="66"/>
        <v>2.3082123378446395</v>
      </c>
      <c r="BV57" s="92">
        <f t="shared" si="67"/>
        <v>-6.0370587667999871</v>
      </c>
      <c r="BW57" s="91">
        <f t="shared" si="68"/>
        <v>-7.6217023498818097</v>
      </c>
      <c r="BX57" s="92">
        <f t="shared" si="69"/>
        <v>7.3025471582412962</v>
      </c>
      <c r="BY57" s="91">
        <f t="shared" si="76"/>
        <v>-92.834732888756292</v>
      </c>
      <c r="BZ57" s="91">
        <f t="shared" si="70"/>
        <v>-92.834732888756292</v>
      </c>
      <c r="CA57" s="759" t="str">
        <f t="shared" si="71"/>
        <v>OK</v>
      </c>
      <c r="CB57" s="435">
        <f t="shared" si="72"/>
        <v>0</v>
      </c>
      <c r="CC57" s="759" t="str">
        <f t="shared" si="73"/>
        <v>OK</v>
      </c>
      <c r="CD57" s="93">
        <f t="shared" si="74"/>
        <v>0</v>
      </c>
      <c r="CE57" s="759" t="str">
        <f t="shared" si="75"/>
        <v>FORA</v>
      </c>
      <c r="CG57" s="362"/>
      <c r="CH57" s="355"/>
      <c r="CI57" s="355"/>
      <c r="CJ57" s="355"/>
      <c r="CK57" s="355"/>
      <c r="CL57" s="355"/>
      <c r="CM57" s="355"/>
      <c r="CN57" s="355"/>
      <c r="CO57" s="355"/>
      <c r="CP57" s="355"/>
      <c r="CQ57" s="355"/>
      <c r="CR57" s="355"/>
      <c r="CS57" s="355"/>
    </row>
    <row r="58" spans="1:97" ht="35.25" customHeight="1" thickBot="1" x14ac:dyDescent="0.3">
      <c r="A58" s="265" t="s">
        <v>497</v>
      </c>
      <c r="B58" s="275"/>
      <c r="C58" s="292" t="s">
        <v>12</v>
      </c>
      <c r="D58" s="292" t="s">
        <v>12</v>
      </c>
      <c r="E58" s="293" t="s">
        <v>12</v>
      </c>
      <c r="F58" s="810"/>
      <c r="G58" s="811"/>
      <c r="H58" s="812"/>
      <c r="K58" s="113"/>
      <c r="L58" s="113"/>
      <c r="M58" s="113"/>
      <c r="N58" s="150"/>
      <c r="O58" s="113"/>
      <c r="P58" s="180">
        <v>46108.624999826388</v>
      </c>
      <c r="Q58" s="166">
        <v>7.0000000000000007E-2</v>
      </c>
      <c r="R58" s="166">
        <v>767.93</v>
      </c>
      <c r="S58" s="170">
        <v>862.3</v>
      </c>
      <c r="T58" s="702">
        <v>795.59427594747206</v>
      </c>
      <c r="U58" s="17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1"/>
      <c r="AM58" s="362"/>
      <c r="AN58" s="362"/>
      <c r="AO58" s="362"/>
      <c r="AP58" s="362"/>
      <c r="AQ58" s="355"/>
      <c r="AR58" s="362"/>
      <c r="AS58" s="362"/>
      <c r="AT58" s="355"/>
      <c r="AU58" s="355"/>
      <c r="AV58" s="355"/>
      <c r="AW58" s="362"/>
      <c r="AX58" s="362"/>
      <c r="AY58" s="362"/>
      <c r="AZ58" s="362"/>
      <c r="BA58" s="362"/>
      <c r="BB58" s="362"/>
      <c r="BC58" s="362"/>
      <c r="BD58" s="362"/>
      <c r="BE58" s="362"/>
      <c r="BF58" s="362"/>
      <c r="BG58" s="362"/>
      <c r="BH58" s="362"/>
      <c r="BI58" s="373"/>
      <c r="BJ58" s="373"/>
      <c r="BK58" s="373"/>
      <c r="BL58" s="372"/>
      <c r="BM58" s="372"/>
      <c r="BN58" s="372"/>
      <c r="BO58" s="372"/>
      <c r="BP58" s="372"/>
      <c r="BQ58" s="372"/>
      <c r="BR58" s="372"/>
      <c r="BS58" s="372"/>
      <c r="BT58" s="372"/>
      <c r="BU58" s="91">
        <f t="shared" si="66"/>
        <v>2.2364463417374969</v>
      </c>
      <c r="BV58" s="92">
        <f t="shared" si="67"/>
        <v>-5.8483442144000151</v>
      </c>
      <c r="BW58" s="91">
        <f t="shared" si="68"/>
        <v>-7.735298002929003</v>
      </c>
      <c r="BX58" s="92">
        <f t="shared" si="69"/>
        <v>7.4140553590552543</v>
      </c>
      <c r="BY58" s="91">
        <f t="shared" si="76"/>
        <v>-92.625902656552086</v>
      </c>
      <c r="BZ58" s="91">
        <f t="shared" si="70"/>
        <v>-92.625902656552086</v>
      </c>
      <c r="CA58" s="759" t="str">
        <f t="shared" si="71"/>
        <v>OK</v>
      </c>
      <c r="CB58" s="435">
        <f t="shared" si="72"/>
        <v>0</v>
      </c>
      <c r="CC58" s="759" t="str">
        <f t="shared" si="73"/>
        <v>OK</v>
      </c>
      <c r="CD58" s="93">
        <f t="shared" si="74"/>
        <v>0</v>
      </c>
      <c r="CE58" s="759" t="str">
        <f t="shared" si="75"/>
        <v>FORA</v>
      </c>
      <c r="CG58" s="362"/>
      <c r="CH58" s="355"/>
      <c r="CI58" s="355"/>
      <c r="CJ58" s="355"/>
      <c r="CK58" s="355"/>
      <c r="CL58" s="355"/>
      <c r="CM58" s="355"/>
      <c r="CN58" s="355"/>
      <c r="CO58" s="355"/>
      <c r="CP58" s="355"/>
      <c r="CQ58" s="355"/>
      <c r="CR58" s="355"/>
      <c r="CS58" s="355"/>
    </row>
    <row r="59" spans="1:97" ht="35.25" customHeight="1" thickBot="1" x14ac:dyDescent="0.3">
      <c r="A59" s="290" t="s">
        <v>498</v>
      </c>
      <c r="B59" s="291"/>
      <c r="C59" s="289">
        <f>AB35</f>
        <v>229.41300000000001</v>
      </c>
      <c r="D59" s="289">
        <f>AB36</f>
        <v>230.578</v>
      </c>
      <c r="E59" s="298">
        <f>AVERAGE(AB10:AB33)</f>
        <v>230.04283333333339</v>
      </c>
      <c r="F59" s="302">
        <f>SUM(AB10:AB33)</f>
        <v>5521.0280000000012</v>
      </c>
      <c r="G59" s="260"/>
      <c r="H59" s="260"/>
      <c r="K59" s="113"/>
      <c r="L59" s="113"/>
      <c r="M59" s="113"/>
      <c r="N59" s="150"/>
      <c r="O59" s="113"/>
      <c r="P59" s="180">
        <v>46108.666666435187</v>
      </c>
      <c r="Q59" s="166">
        <v>7.0000000000000007E-2</v>
      </c>
      <c r="R59" s="166">
        <v>767.93</v>
      </c>
      <c r="S59" s="170">
        <v>861.8</v>
      </c>
      <c r="T59" s="702">
        <v>795.59427594747206</v>
      </c>
      <c r="U59" s="170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112"/>
      <c r="AL59" s="31"/>
      <c r="AM59" s="371"/>
      <c r="AN59" s="371"/>
      <c r="AO59" s="355"/>
      <c r="AP59" s="355"/>
      <c r="AQ59" s="355"/>
      <c r="AR59" s="355"/>
      <c r="AS59" s="355"/>
      <c r="AT59" s="355"/>
      <c r="AU59" s="355"/>
      <c r="AV59" s="355"/>
      <c r="AW59" s="355"/>
      <c r="AX59" s="355"/>
      <c r="AY59" s="355"/>
      <c r="AZ59" s="355"/>
      <c r="BA59" s="355"/>
      <c r="BB59" s="355"/>
      <c r="BC59" s="355"/>
      <c r="BD59" s="355"/>
      <c r="BE59" s="355"/>
      <c r="BF59" s="355"/>
      <c r="BG59" s="355"/>
      <c r="BH59" s="355"/>
      <c r="BI59" s="355"/>
      <c r="BJ59" s="355"/>
      <c r="BK59" s="355"/>
      <c r="BL59" s="370"/>
      <c r="BM59" s="370"/>
      <c r="BN59" s="370"/>
      <c r="BO59" s="370"/>
      <c r="BP59" s="370"/>
      <c r="BQ59" s="370"/>
      <c r="BR59" s="370"/>
      <c r="BS59" s="370"/>
      <c r="BT59" s="370"/>
      <c r="BU59" s="91">
        <f t="shared" si="66"/>
        <v>2.3051552826722332</v>
      </c>
      <c r="BV59" s="92">
        <f t="shared" si="67"/>
        <v>-6.022123131399951</v>
      </c>
      <c r="BW59" s="91">
        <f t="shared" si="68"/>
        <v>-7.7172600381460015</v>
      </c>
      <c r="BX59" s="92">
        <f t="shared" si="69"/>
        <v>7.3930627895785364</v>
      </c>
      <c r="BY59" s="91">
        <f t="shared" si="76"/>
        <v>-92.618750354435008</v>
      </c>
      <c r="BZ59" s="91">
        <f t="shared" si="70"/>
        <v>-92.618750354435008</v>
      </c>
      <c r="CA59" s="759" t="str">
        <f t="shared" si="71"/>
        <v>OK</v>
      </c>
      <c r="CB59" s="435">
        <f t="shared" si="72"/>
        <v>0</v>
      </c>
      <c r="CC59" s="759" t="str">
        <f t="shared" si="73"/>
        <v>OK</v>
      </c>
      <c r="CD59" s="93">
        <f t="shared" si="74"/>
        <v>0</v>
      </c>
      <c r="CE59" s="759" t="str">
        <f t="shared" si="75"/>
        <v>FORA</v>
      </c>
      <c r="CG59" s="355"/>
      <c r="CH59" s="355"/>
      <c r="CI59" s="355"/>
      <c r="CJ59" s="355"/>
      <c r="CK59" s="355"/>
      <c r="CL59" s="355"/>
      <c r="CM59" s="355"/>
      <c r="CN59" s="355"/>
      <c r="CO59" s="355"/>
      <c r="CP59" s="355"/>
      <c r="CQ59" s="355"/>
      <c r="CR59" s="355"/>
      <c r="CS59" s="355"/>
    </row>
    <row r="60" spans="1:97" ht="35.25" customHeight="1" x14ac:dyDescent="0.3">
      <c r="A60" s="264" t="s">
        <v>499</v>
      </c>
      <c r="B60" s="224"/>
      <c r="C60" s="262">
        <f>AC35</f>
        <v>76.855999999999995</v>
      </c>
      <c r="D60" s="262">
        <f>AC36</f>
        <v>77.247</v>
      </c>
      <c r="E60" s="270">
        <f>AVERAGE(AC10:AC33)</f>
        <v>77.067333333333337</v>
      </c>
      <c r="F60" s="269">
        <f>SUM(AC10:AC33)</f>
        <v>1849.616</v>
      </c>
      <c r="J60" s="839" t="s">
        <v>500</v>
      </c>
      <c r="K60" s="840"/>
      <c r="L60" s="840"/>
      <c r="M60" s="841"/>
      <c r="N60" s="116"/>
      <c r="O60" s="116"/>
      <c r="P60" s="180">
        <v>46108.708333043978</v>
      </c>
      <c r="Q60" s="913">
        <v>0.22</v>
      </c>
      <c r="R60" s="166">
        <v>767.93</v>
      </c>
      <c r="S60" s="170">
        <v>861.8</v>
      </c>
      <c r="T60" s="702">
        <v>795.59427594747206</v>
      </c>
      <c r="U60" s="170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112"/>
      <c r="AL60" s="31"/>
      <c r="AM60" s="371"/>
      <c r="AN60" s="371"/>
      <c r="AO60" s="355"/>
      <c r="AP60" s="355"/>
      <c r="AQ60" s="355"/>
      <c r="AR60" s="355"/>
      <c r="AS60" s="355"/>
      <c r="AT60" s="355"/>
      <c r="AU60" s="355"/>
      <c r="AV60" s="355"/>
      <c r="AW60" s="355"/>
      <c r="AX60" s="355"/>
      <c r="AY60" s="355"/>
      <c r="AZ60" s="355"/>
      <c r="BA60" s="355"/>
      <c r="BB60" s="355"/>
      <c r="BC60" s="355"/>
      <c r="BD60" s="355"/>
      <c r="BE60" s="355"/>
      <c r="BF60" s="355"/>
      <c r="BG60" s="355"/>
      <c r="BH60" s="355"/>
      <c r="BI60" s="375"/>
      <c r="BJ60" s="375"/>
      <c r="BK60" s="375"/>
      <c r="BL60" s="370"/>
      <c r="BM60" s="370"/>
      <c r="BN60" s="370"/>
      <c r="BO60" s="370"/>
      <c r="BP60" s="370"/>
      <c r="BQ60" s="370"/>
      <c r="BR60" s="370"/>
      <c r="BS60" s="370"/>
      <c r="BT60" s="370"/>
      <c r="BU60" s="91">
        <f t="shared" si="66"/>
        <v>2.3316610455018871</v>
      </c>
      <c r="BV60" s="92">
        <f t="shared" si="67"/>
        <v>-6.0867145485999572</v>
      </c>
      <c r="BW60" s="91">
        <f t="shared" si="68"/>
        <v>-7.7165418981405391</v>
      </c>
      <c r="BX60" s="92">
        <f>BE29-AH29</f>
        <v>7.3885544894622655</v>
      </c>
      <c r="BY60" s="91">
        <f t="shared" si="76"/>
        <v>-92.246105847537336</v>
      </c>
      <c r="BZ60" s="91">
        <f t="shared" si="70"/>
        <v>-92.246105847537336</v>
      </c>
      <c r="CA60" s="759" t="str">
        <f t="shared" si="71"/>
        <v>OK</v>
      </c>
      <c r="CB60" s="435">
        <f t="shared" si="72"/>
        <v>0</v>
      </c>
      <c r="CC60" s="759" t="str">
        <f t="shared" si="73"/>
        <v>OK</v>
      </c>
      <c r="CD60" s="93">
        <f t="shared" si="74"/>
        <v>0</v>
      </c>
      <c r="CE60" s="759" t="str">
        <f t="shared" si="75"/>
        <v>FORA</v>
      </c>
      <c r="CG60" s="355"/>
      <c r="CH60" s="355"/>
      <c r="CI60" s="355"/>
      <c r="CJ60" s="355"/>
      <c r="CK60" s="355"/>
      <c r="CL60" s="355"/>
      <c r="CM60" s="355"/>
      <c r="CN60" s="355"/>
      <c r="CO60" s="355"/>
      <c r="CP60" s="355"/>
      <c r="CQ60" s="355"/>
      <c r="CR60" s="355"/>
      <c r="CS60" s="355"/>
    </row>
    <row r="61" spans="1:97" ht="35.25" customHeight="1" x14ac:dyDescent="0.25">
      <c r="A61" s="264" t="s">
        <v>501</v>
      </c>
      <c r="B61" s="224"/>
      <c r="C61" s="262">
        <f>AD35</f>
        <v>0.18</v>
      </c>
      <c r="D61" s="262">
        <f>AD36</f>
        <v>0.23400000000000001</v>
      </c>
      <c r="E61" s="270">
        <f>AVERAGE(AD10:AD33)</f>
        <v>0.20358333333333337</v>
      </c>
      <c r="F61" s="269">
        <f>SUM(AD10:AD33)</f>
        <v>4.886000000000001</v>
      </c>
      <c r="J61" s="605" t="s">
        <v>502</v>
      </c>
      <c r="K61" s="606" t="s">
        <v>503</v>
      </c>
      <c r="L61" s="606" t="s">
        <v>504</v>
      </c>
      <c r="M61" s="607" t="s">
        <v>505</v>
      </c>
      <c r="N61" s="28"/>
      <c r="O61" s="28"/>
      <c r="P61" s="180">
        <v>46108.749999652777</v>
      </c>
      <c r="Q61" s="914">
        <v>0.22</v>
      </c>
      <c r="R61" s="166">
        <v>767.93</v>
      </c>
      <c r="S61" s="170">
        <v>861.8</v>
      </c>
      <c r="T61" s="702">
        <v>795.59427594747206</v>
      </c>
      <c r="U61" s="170"/>
      <c r="AD61" s="112"/>
      <c r="AE61" s="112"/>
      <c r="AF61" s="112"/>
      <c r="AG61" s="112"/>
      <c r="AH61" s="112"/>
      <c r="AI61" s="112"/>
      <c r="AJ61" s="112"/>
      <c r="AK61" s="112"/>
      <c r="AL61" s="31"/>
      <c r="AM61" s="371"/>
      <c r="AN61" s="371"/>
      <c r="AO61" s="355"/>
      <c r="AP61" s="355"/>
      <c r="AQ61" s="355"/>
      <c r="AR61" s="355"/>
      <c r="AS61" s="355"/>
      <c r="AT61" s="355"/>
      <c r="AU61" s="355"/>
      <c r="AV61" s="355"/>
      <c r="AW61" s="355"/>
      <c r="AX61" s="355"/>
      <c r="AY61" s="355"/>
      <c r="AZ61" s="355"/>
      <c r="BA61" s="355"/>
      <c r="BB61" s="355"/>
      <c r="BC61" s="355"/>
      <c r="BD61" s="355"/>
      <c r="BE61" s="355"/>
      <c r="BF61" s="355"/>
      <c r="BG61" s="355"/>
      <c r="BH61" s="355"/>
      <c r="BI61" s="355"/>
      <c r="BJ61" s="355"/>
      <c r="BK61" s="355"/>
      <c r="BL61" s="370"/>
      <c r="BM61" s="370"/>
      <c r="BN61" s="370"/>
      <c r="BO61" s="370"/>
      <c r="BP61" s="370"/>
      <c r="BQ61" s="370"/>
      <c r="BR61" s="370"/>
      <c r="BS61" s="370"/>
      <c r="BT61" s="370"/>
      <c r="BU61" s="91">
        <f t="shared" si="66"/>
        <v>2.2413502246140471</v>
      </c>
      <c r="BV61" s="92">
        <f t="shared" si="67"/>
        <v>-5.8536305937999487</v>
      </c>
      <c r="BW61" s="91">
        <f t="shared" si="68"/>
        <v>-7.7204310788211323</v>
      </c>
      <c r="BX61" s="92">
        <f t="shared" si="69"/>
        <v>7.3894107021366864</v>
      </c>
      <c r="BY61" s="91">
        <f t="shared" si="76"/>
        <v>-92.373105792977086</v>
      </c>
      <c r="BZ61" s="91">
        <f t="shared" si="70"/>
        <v>-92.373105792977086</v>
      </c>
      <c r="CA61" s="759" t="str">
        <f t="shared" si="71"/>
        <v>OK</v>
      </c>
      <c r="CB61" s="435">
        <f t="shared" si="72"/>
        <v>0</v>
      </c>
      <c r="CC61" s="759" t="str">
        <f t="shared" si="73"/>
        <v>OK</v>
      </c>
      <c r="CD61" s="93">
        <f t="shared" si="74"/>
        <v>0</v>
      </c>
      <c r="CE61" s="759" t="str">
        <f t="shared" si="75"/>
        <v>FORA</v>
      </c>
      <c r="CG61" s="355"/>
      <c r="CH61" s="355"/>
      <c r="CI61" s="355"/>
      <c r="CJ61" s="355"/>
      <c r="CK61" s="355"/>
      <c r="CL61" s="355"/>
      <c r="CM61" s="355"/>
      <c r="CN61" s="355"/>
      <c r="CO61" s="355"/>
      <c r="CP61" s="355"/>
      <c r="CQ61" s="355"/>
      <c r="CR61" s="355"/>
      <c r="CS61" s="355"/>
    </row>
    <row r="62" spans="1:97" ht="35.25" customHeight="1" x14ac:dyDescent="0.3">
      <c r="A62" s="264" t="s">
        <v>506</v>
      </c>
      <c r="B62" s="225"/>
      <c r="C62" s="262">
        <f>AG35</f>
        <v>266.78100000000001</v>
      </c>
      <c r="D62" s="262">
        <f>AG36</f>
        <v>268.13600000000002</v>
      </c>
      <c r="E62" s="270">
        <f>AVERAGE(AG10:AG33)</f>
        <v>267.5135416666667</v>
      </c>
      <c r="F62" s="269">
        <f>SUM(AG10:AG33)</f>
        <v>6420.3250000000007</v>
      </c>
      <c r="J62" s="608">
        <v>46108</v>
      </c>
      <c r="K62" s="609">
        <v>0.5</v>
      </c>
      <c r="L62" s="610">
        <v>767.93</v>
      </c>
      <c r="M62" s="611" t="s">
        <v>507</v>
      </c>
      <c r="N62" s="28"/>
      <c r="O62" s="28"/>
      <c r="P62" s="180">
        <v>46108.791666261575</v>
      </c>
      <c r="Q62" s="914">
        <v>0.22</v>
      </c>
      <c r="R62" s="166">
        <v>767.93</v>
      </c>
      <c r="S62" s="170">
        <v>861.8</v>
      </c>
      <c r="T62" s="702">
        <v>795.59427594747206</v>
      </c>
      <c r="U62" s="170"/>
      <c r="AD62" s="72"/>
      <c r="AE62" s="72"/>
      <c r="AF62" s="72"/>
      <c r="AG62" s="72"/>
      <c r="AH62" s="72"/>
      <c r="AI62" s="72"/>
      <c r="AJ62" s="72"/>
      <c r="AK62" s="72"/>
      <c r="AL62" s="30"/>
      <c r="AM62" s="374"/>
      <c r="AN62" s="374"/>
      <c r="AO62" s="355"/>
      <c r="AP62" s="372"/>
      <c r="AQ62" s="355"/>
      <c r="AR62" s="355"/>
      <c r="AS62" s="355"/>
      <c r="AT62" s="355"/>
      <c r="AU62" s="355"/>
      <c r="AV62" s="355"/>
      <c r="AW62" s="355"/>
      <c r="AX62" s="355"/>
      <c r="AY62" s="355"/>
      <c r="AZ62" s="355"/>
      <c r="BA62" s="355"/>
      <c r="BB62" s="355"/>
      <c r="BC62" s="355"/>
      <c r="BD62" s="355"/>
      <c r="BE62" s="355"/>
      <c r="BF62" s="355"/>
      <c r="BG62" s="355"/>
      <c r="BH62" s="355"/>
      <c r="BI62" s="355"/>
      <c r="BJ62" s="355"/>
      <c r="BK62" s="355"/>
      <c r="BL62" s="370"/>
      <c r="BM62" s="370"/>
      <c r="BN62" s="370"/>
      <c r="BO62" s="370"/>
      <c r="BP62" s="370"/>
      <c r="BQ62" s="370"/>
      <c r="BR62" s="370"/>
      <c r="BS62" s="370"/>
      <c r="BT62" s="370"/>
      <c r="BU62" s="91">
        <f t="shared" si="66"/>
        <v>2.198788958785336</v>
      </c>
      <c r="BV62" s="92">
        <f t="shared" si="67"/>
        <v>-5.739746265000008</v>
      </c>
      <c r="BW62" s="91">
        <f t="shared" si="68"/>
        <v>-7.7636458557662991</v>
      </c>
      <c r="BX62" s="92">
        <f t="shared" si="69"/>
        <v>7.427688733997158</v>
      </c>
      <c r="BY62" s="91">
        <f t="shared" si="76"/>
        <v>-91.559588307682475</v>
      </c>
      <c r="BZ62" s="91">
        <f t="shared" si="70"/>
        <v>-91.559588307682475</v>
      </c>
      <c r="CA62" s="759" t="str">
        <f t="shared" si="71"/>
        <v>OK</v>
      </c>
      <c r="CB62" s="435">
        <f t="shared" si="72"/>
        <v>0</v>
      </c>
      <c r="CC62" s="759" t="str">
        <f t="shared" si="73"/>
        <v>OK</v>
      </c>
      <c r="CD62" s="93">
        <f t="shared" si="74"/>
        <v>0</v>
      </c>
      <c r="CE62" s="759" t="str">
        <f t="shared" si="75"/>
        <v>FORA</v>
      </c>
      <c r="CG62" s="355"/>
      <c r="CH62" s="355"/>
      <c r="CI62" s="355"/>
      <c r="CJ62" s="355"/>
      <c r="CK62" s="355"/>
      <c r="CL62" s="355"/>
      <c r="CM62" s="355"/>
      <c r="CN62" s="355"/>
      <c r="CO62" s="355"/>
      <c r="CP62" s="355"/>
      <c r="CQ62" s="355"/>
      <c r="CR62" s="355"/>
      <c r="CS62" s="355"/>
    </row>
    <row r="63" spans="1:97" ht="35.25" customHeight="1" x14ac:dyDescent="0.3">
      <c r="A63" s="264" t="s">
        <v>508</v>
      </c>
      <c r="B63" s="225"/>
      <c r="C63" s="262">
        <f>AH35</f>
        <v>88.245000000000005</v>
      </c>
      <c r="D63" s="262">
        <f>AH36</f>
        <v>88.692999999999998</v>
      </c>
      <c r="E63" s="270">
        <f>AVERAGE(AI10:AI33)</f>
        <v>0.16350000000000001</v>
      </c>
      <c r="F63" s="269">
        <f>SUM(AH10:AH33)</f>
        <v>2123.6849999999999</v>
      </c>
      <c r="J63" s="608">
        <v>46108</v>
      </c>
      <c r="K63" s="609">
        <v>0.54166666666666663</v>
      </c>
      <c r="L63" s="610">
        <v>767.99</v>
      </c>
      <c r="M63" s="611" t="s">
        <v>507</v>
      </c>
      <c r="N63" s="28"/>
      <c r="O63" s="28"/>
      <c r="P63" s="180">
        <v>46108.833332870374</v>
      </c>
      <c r="Q63" s="914">
        <v>0.22</v>
      </c>
      <c r="R63" s="166">
        <v>767.93</v>
      </c>
      <c r="S63" s="170">
        <v>861.8</v>
      </c>
      <c r="T63" s="702">
        <v>795.59427594747206</v>
      </c>
      <c r="U63" s="170"/>
      <c r="AD63" s="72"/>
      <c r="AE63" s="72"/>
      <c r="AF63" s="72"/>
      <c r="AG63" s="72"/>
      <c r="AH63" s="72"/>
      <c r="AI63" s="72"/>
      <c r="AJ63" s="72"/>
      <c r="AK63" s="72"/>
      <c r="AL63" s="114"/>
      <c r="AM63" s="374"/>
      <c r="AN63" s="374"/>
      <c r="AO63" s="376"/>
      <c r="AP63" s="377"/>
      <c r="AQ63" s="355"/>
      <c r="AR63" s="355"/>
      <c r="AS63" s="355"/>
      <c r="AT63" s="355"/>
      <c r="AU63" s="355"/>
      <c r="AV63" s="355"/>
      <c r="AW63" s="355"/>
      <c r="AX63" s="355"/>
      <c r="AY63" s="355"/>
      <c r="AZ63" s="355"/>
      <c r="BA63" s="355"/>
      <c r="BB63" s="355"/>
      <c r="BC63" s="355"/>
      <c r="BD63" s="355"/>
      <c r="BE63" s="355"/>
      <c r="BF63" s="355"/>
      <c r="BG63" s="355"/>
      <c r="BH63" s="355"/>
      <c r="BI63" s="355"/>
      <c r="BJ63" s="355"/>
      <c r="BK63" s="355"/>
      <c r="BL63" s="370"/>
      <c r="BM63" s="370"/>
      <c r="BN63" s="370"/>
      <c r="BO63" s="370"/>
      <c r="BP63" s="370"/>
      <c r="BQ63" s="370"/>
      <c r="BR63" s="370"/>
      <c r="BS63" s="370"/>
      <c r="BT63" s="370"/>
      <c r="BU63" s="91">
        <f>((AG32/BA32)-1)*100</f>
        <v>2.3383634958868971</v>
      </c>
      <c r="BV63" s="92">
        <f t="shared" si="67"/>
        <v>-6.1004067121999697</v>
      </c>
      <c r="BW63" s="91">
        <f t="shared" si="68"/>
        <v>-7.6150509865578027</v>
      </c>
      <c r="BX63" s="92">
        <f t="shared" si="69"/>
        <v>7.2793283960901789</v>
      </c>
      <c r="BY63" s="91">
        <f t="shared" si="76"/>
        <v>-89.166119500984891</v>
      </c>
      <c r="BZ63" s="91">
        <f t="shared" si="70"/>
        <v>-89.166119500984891</v>
      </c>
      <c r="CA63" s="759" t="str">
        <f t="shared" si="71"/>
        <v>OK</v>
      </c>
      <c r="CB63" s="435">
        <f t="shared" si="72"/>
        <v>0</v>
      </c>
      <c r="CC63" s="759" t="str">
        <f t="shared" si="73"/>
        <v>OK</v>
      </c>
      <c r="CD63" s="93">
        <f t="shared" si="74"/>
        <v>0</v>
      </c>
      <c r="CE63" s="759" t="str">
        <f t="shared" si="75"/>
        <v>FORA</v>
      </c>
      <c r="CG63" s="355"/>
      <c r="CH63" s="355"/>
      <c r="CI63" s="355"/>
      <c r="CJ63" s="355"/>
      <c r="CK63" s="355"/>
      <c r="CL63" s="355"/>
      <c r="CM63" s="355"/>
      <c r="CN63" s="355"/>
      <c r="CO63" s="355"/>
      <c r="CP63" s="355"/>
      <c r="CQ63" s="355"/>
      <c r="CR63" s="355"/>
      <c r="CS63" s="355"/>
    </row>
    <row r="64" spans="1:97" ht="35.25" customHeight="1" thickBot="1" x14ac:dyDescent="0.35">
      <c r="A64" s="265" t="s">
        <v>509</v>
      </c>
      <c r="B64" s="271"/>
      <c r="C64" s="272">
        <f>AI35</f>
        <v>0.14499999999999999</v>
      </c>
      <c r="D64" s="272">
        <f>AI36</f>
        <v>0.188</v>
      </c>
      <c r="E64" s="273">
        <f>AVERAGE(AI10:AI33)</f>
        <v>0.16350000000000001</v>
      </c>
      <c r="F64" s="269">
        <f>SUM(AI10:AI33)</f>
        <v>3.9239999999999999</v>
      </c>
      <c r="J64" s="612">
        <v>46108</v>
      </c>
      <c r="K64" s="613">
        <v>0.625</v>
      </c>
      <c r="L64" s="614">
        <v>768.45</v>
      </c>
      <c r="M64" s="615" t="s">
        <v>507</v>
      </c>
      <c r="P64" s="180">
        <v>46108.874999479165</v>
      </c>
      <c r="Q64" s="914">
        <v>0.22</v>
      </c>
      <c r="R64" s="166">
        <v>767.93</v>
      </c>
      <c r="S64" s="170">
        <v>861.8</v>
      </c>
      <c r="T64" s="702">
        <v>795.59427594747206</v>
      </c>
      <c r="U64" s="170"/>
      <c r="AD64" s="72"/>
      <c r="AE64" s="72"/>
      <c r="AF64" s="72"/>
      <c r="AG64" s="72"/>
      <c r="AH64" s="72"/>
      <c r="AI64" s="72"/>
      <c r="AJ64" s="72"/>
      <c r="AK64" s="72"/>
      <c r="AL64" s="115"/>
      <c r="AM64" s="374"/>
      <c r="AN64" s="374"/>
      <c r="AO64" s="364"/>
      <c r="AP64" s="363"/>
      <c r="AQ64" s="355"/>
      <c r="AR64" s="355"/>
      <c r="AS64" s="355"/>
      <c r="AT64" s="355"/>
      <c r="AU64" s="355"/>
      <c r="AV64" s="355"/>
      <c r="AW64" s="355"/>
      <c r="AX64" s="355"/>
      <c r="AY64" s="355"/>
      <c r="AZ64" s="355"/>
      <c r="BA64" s="355"/>
      <c r="BB64" s="355"/>
      <c r="BC64" s="355"/>
      <c r="BD64" s="355"/>
      <c r="BE64" s="355"/>
      <c r="BF64" s="355"/>
      <c r="BG64" s="355"/>
      <c r="BH64" s="355"/>
      <c r="BI64" s="355"/>
      <c r="BJ64" s="355"/>
      <c r="BK64" s="355"/>
      <c r="BL64" s="370"/>
      <c r="BM64" s="370"/>
      <c r="BN64" s="370"/>
      <c r="BO64" s="370"/>
      <c r="BP64" s="370"/>
      <c r="BQ64" s="370"/>
      <c r="BR64" s="370"/>
      <c r="BS64" s="370"/>
      <c r="BT64" s="370"/>
      <c r="BU64" s="91">
        <f>((AG33/BA33)-1)*100</f>
        <v>1.9814446340517877</v>
      </c>
      <c r="BV64" s="92">
        <f t="shared" si="67"/>
        <v>-5.1866949615999829</v>
      </c>
      <c r="BW64" s="91">
        <f t="shared" si="68"/>
        <v>-7.6826968264228075</v>
      </c>
      <c r="BX64" s="92">
        <f t="shared" si="69"/>
        <v>7.3483746432413</v>
      </c>
      <c r="BY64" s="91">
        <f t="shared" si="76"/>
        <v>-90.70718877849211</v>
      </c>
      <c r="BZ64" s="91">
        <f t="shared" si="70"/>
        <v>-90.70718877849211</v>
      </c>
      <c r="CA64" s="759" t="str">
        <f t="shared" si="71"/>
        <v>OK</v>
      </c>
      <c r="CB64" s="760">
        <f t="shared" si="72"/>
        <v>0</v>
      </c>
      <c r="CC64" s="759" t="str">
        <f t="shared" si="73"/>
        <v>OK</v>
      </c>
      <c r="CD64" s="229">
        <f t="shared" si="74"/>
        <v>0</v>
      </c>
      <c r="CE64" s="759" t="str">
        <f t="shared" si="75"/>
        <v>FORA</v>
      </c>
      <c r="CG64" s="355"/>
      <c r="CH64" s="355"/>
      <c r="CI64" s="355"/>
      <c r="CJ64" s="355"/>
      <c r="CK64" s="355"/>
      <c r="CL64" s="355"/>
      <c r="CM64" s="355"/>
      <c r="CN64" s="355"/>
      <c r="CO64" s="355"/>
      <c r="CP64" s="355"/>
      <c r="CQ64" s="355"/>
      <c r="CR64" s="355"/>
      <c r="CS64" s="355"/>
    </row>
    <row r="65" spans="1:97" ht="35.25" customHeight="1" x14ac:dyDescent="0.25">
      <c r="A65" s="594" t="s">
        <v>510</v>
      </c>
      <c r="B65" s="595"/>
      <c r="C65" s="596">
        <f>W35*100</f>
        <v>55009</v>
      </c>
      <c r="D65" s="596">
        <f>W36*100</f>
        <v>55233.000000000007</v>
      </c>
      <c r="E65" s="597">
        <f>W34*100</f>
        <v>55108.875000000015</v>
      </c>
      <c r="F65" s="598" t="s">
        <v>511</v>
      </c>
      <c r="G65" s="604" t="s">
        <v>512</v>
      </c>
      <c r="P65" s="667">
        <v>46108.916666087964</v>
      </c>
      <c r="Q65" s="913">
        <v>0.25</v>
      </c>
      <c r="R65" s="171">
        <v>767.99</v>
      </c>
      <c r="S65" s="666">
        <v>861.8</v>
      </c>
      <c r="T65" s="708">
        <v>795.59427594747206</v>
      </c>
      <c r="U65" s="170"/>
      <c r="AD65" s="72"/>
      <c r="AE65" s="72"/>
      <c r="AF65" s="72"/>
      <c r="AG65" s="72"/>
      <c r="AH65" s="72"/>
      <c r="AI65" s="72"/>
      <c r="AK65" s="72"/>
      <c r="AL65" s="115"/>
      <c r="AM65" s="374"/>
      <c r="AN65" s="374"/>
      <c r="AO65" s="364"/>
      <c r="AP65" s="363"/>
      <c r="AQ65" s="355"/>
      <c r="AR65" s="355"/>
      <c r="AS65" s="355"/>
      <c r="AT65" s="355"/>
      <c r="AU65" s="355"/>
      <c r="AV65" s="355"/>
      <c r="AW65" s="355"/>
      <c r="AX65" s="355"/>
      <c r="AY65" s="355"/>
      <c r="AZ65" s="355"/>
      <c r="BA65" s="355"/>
      <c r="BB65" s="355"/>
      <c r="BC65" s="355"/>
      <c r="BD65" s="355"/>
      <c r="BE65" s="355"/>
      <c r="BF65" s="355"/>
      <c r="BG65" s="355"/>
      <c r="BH65" s="355"/>
      <c r="BI65" s="355"/>
      <c r="BJ65" s="355"/>
      <c r="BK65" s="355"/>
      <c r="BL65" s="370"/>
      <c r="BM65" s="370"/>
      <c r="BN65" s="370"/>
      <c r="BO65" s="370"/>
      <c r="BP65" s="370"/>
      <c r="BQ65" s="370"/>
      <c r="BR65" s="370"/>
      <c r="BS65" s="370"/>
      <c r="BT65" s="370"/>
      <c r="BU65" s="370"/>
      <c r="BV65" s="370"/>
      <c r="BW65" s="370"/>
      <c r="BX65" s="370"/>
      <c r="BY65" s="370"/>
      <c r="BZ65" s="370"/>
      <c r="CA65" s="370"/>
      <c r="CB65" s="371"/>
      <c r="CC65" s="355"/>
      <c r="CD65" s="355"/>
      <c r="CE65" s="355"/>
      <c r="CF65" s="355"/>
      <c r="CG65" s="355"/>
      <c r="CH65" s="355"/>
      <c r="CI65" s="355"/>
      <c r="CJ65" s="355"/>
      <c r="CK65" s="355"/>
      <c r="CL65" s="355"/>
      <c r="CM65" s="355"/>
      <c r="CN65" s="355"/>
      <c r="CO65" s="355"/>
      <c r="CP65" s="355"/>
      <c r="CQ65" s="355"/>
      <c r="CR65" s="355"/>
      <c r="CS65" s="355"/>
    </row>
    <row r="66" spans="1:97" ht="35.25" customHeight="1" x14ac:dyDescent="0.25">
      <c r="A66" s="264" t="s">
        <v>513</v>
      </c>
      <c r="B66" s="158"/>
      <c r="C66" s="278">
        <f>X35</f>
        <v>82.05</v>
      </c>
      <c r="D66" s="278">
        <f>X36</f>
        <v>82.32</v>
      </c>
      <c r="E66" s="279">
        <f>X34</f>
        <v>82.201250000000002</v>
      </c>
      <c r="F66" s="280"/>
      <c r="G66"/>
      <c r="P66" s="180">
        <v>46108.958332696762</v>
      </c>
      <c r="Q66" s="914">
        <v>0.25</v>
      </c>
      <c r="R66" s="166">
        <v>767.99</v>
      </c>
      <c r="S66" s="170">
        <v>861.8</v>
      </c>
      <c r="T66" s="702">
        <v>795.59427594747206</v>
      </c>
      <c r="U66" s="170"/>
      <c r="AD66" s="72"/>
      <c r="AE66" s="72"/>
      <c r="AF66" s="72"/>
      <c r="AG66" s="72"/>
      <c r="AH66" s="72"/>
      <c r="AI66" s="72"/>
      <c r="AJ66" s="72"/>
      <c r="AL66" s="115"/>
      <c r="AM66" s="374"/>
      <c r="AN66" s="374"/>
      <c r="AO66" s="364"/>
      <c r="AP66" s="363"/>
      <c r="AQ66" s="355"/>
      <c r="AR66" s="355"/>
      <c r="AS66" s="355"/>
      <c r="AT66" s="355"/>
      <c r="AU66" s="355"/>
      <c r="AV66" s="355"/>
      <c r="AW66" s="355"/>
      <c r="AX66" s="355"/>
      <c r="AY66" s="355"/>
      <c r="AZ66" s="355"/>
      <c r="BA66" s="355"/>
      <c r="BB66" s="355"/>
      <c r="BC66" s="355"/>
      <c r="BD66" s="355"/>
      <c r="BE66" s="355"/>
      <c r="BF66" s="355"/>
      <c r="BG66" s="355"/>
      <c r="BH66" s="355"/>
      <c r="BI66" s="355"/>
      <c r="BJ66" s="355"/>
      <c r="BK66" s="355"/>
      <c r="BL66" s="378"/>
      <c r="BM66" s="378"/>
      <c r="BN66" s="378"/>
      <c r="BO66" s="378"/>
      <c r="BP66" s="378"/>
      <c r="BQ66" s="378"/>
      <c r="BR66" s="378"/>
      <c r="BS66" s="378"/>
      <c r="BT66" s="378"/>
      <c r="BU66" s="378"/>
      <c r="BV66" s="378"/>
      <c r="BW66" s="378"/>
      <c r="BX66" s="378"/>
      <c r="BY66" s="378"/>
      <c r="BZ66" s="378"/>
      <c r="CA66" s="378"/>
      <c r="CB66" s="355"/>
      <c r="CC66" s="355"/>
      <c r="CD66" s="355"/>
      <c r="CE66" s="355"/>
      <c r="CF66" s="355"/>
      <c r="CG66" s="355"/>
      <c r="CH66" s="355"/>
      <c r="CI66" s="355"/>
      <c r="CJ66" s="355"/>
      <c r="CK66" s="355"/>
      <c r="CL66" s="355"/>
      <c r="CM66" s="355"/>
      <c r="CN66" s="355"/>
      <c r="CO66" s="355"/>
      <c r="CP66" s="355"/>
      <c r="CQ66" s="355"/>
      <c r="CR66" s="355"/>
      <c r="CS66" s="355"/>
    </row>
    <row r="67" spans="1:97" ht="35.25" customHeight="1" x14ac:dyDescent="0.25">
      <c r="A67" s="599" t="s">
        <v>75</v>
      </c>
      <c r="B67" s="600"/>
      <c r="C67" s="601">
        <f>D35/10</f>
        <v>212.75519868799023</v>
      </c>
      <c r="D67" s="601">
        <f>D36/10</f>
        <v>214.52045807144367</v>
      </c>
      <c r="E67" s="602">
        <f>D34/10</f>
        <v>213.80644673795206</v>
      </c>
      <c r="F67" s="603" t="s">
        <v>514</v>
      </c>
      <c r="G67" s="72" t="s">
        <v>731</v>
      </c>
      <c r="K67" s="72"/>
      <c r="M67" s="72"/>
      <c r="N67" s="72"/>
      <c r="O67" s="72"/>
      <c r="P67" s="180">
        <v>46108.999999305554</v>
      </c>
      <c r="Q67" s="914">
        <v>0.25</v>
      </c>
      <c r="R67" s="166">
        <v>767.99</v>
      </c>
      <c r="S67" s="170">
        <v>861.8</v>
      </c>
      <c r="T67" s="702">
        <v>795.59427594747206</v>
      </c>
      <c r="U67" s="170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2"/>
      <c r="AL67" s="115"/>
      <c r="AM67" s="371"/>
      <c r="AN67" s="371"/>
      <c r="AO67" s="364"/>
      <c r="AP67" s="363"/>
      <c r="AQ67" s="355"/>
      <c r="AR67" s="355"/>
      <c r="AS67" s="355"/>
      <c r="AT67" s="355"/>
      <c r="AU67" s="355"/>
      <c r="AV67" s="355"/>
      <c r="AW67" s="355"/>
      <c r="AX67" s="355"/>
      <c r="AY67" s="355"/>
      <c r="AZ67" s="355"/>
      <c r="BA67" s="355"/>
      <c r="BB67" s="355"/>
      <c r="BC67" s="355"/>
      <c r="BD67" s="355"/>
      <c r="BE67" s="355"/>
      <c r="BF67" s="355"/>
      <c r="BG67" s="355"/>
      <c r="BH67" s="355"/>
      <c r="BI67" s="379"/>
      <c r="BJ67" s="379"/>
      <c r="BK67" s="379"/>
      <c r="BL67" s="378"/>
      <c r="BM67" s="378"/>
      <c r="BN67" s="378"/>
      <c r="BO67" s="378"/>
      <c r="BP67" s="378"/>
      <c r="BQ67" s="378"/>
      <c r="BR67" s="378"/>
      <c r="BS67" s="378"/>
      <c r="BT67" s="378"/>
      <c r="BU67" s="378"/>
      <c r="BV67" s="378"/>
      <c r="BW67" s="378"/>
      <c r="BX67" s="378"/>
      <c r="BY67" s="378"/>
      <c r="BZ67" s="378"/>
      <c r="CA67" s="378"/>
      <c r="CB67" s="355"/>
      <c r="CC67" s="355"/>
      <c r="CD67" s="355"/>
      <c r="CE67" s="355"/>
      <c r="CF67" s="355"/>
      <c r="CG67" s="355"/>
      <c r="CH67" s="355"/>
      <c r="CI67" s="355"/>
      <c r="CJ67" s="355"/>
      <c r="CK67" s="355"/>
      <c r="CL67" s="355"/>
      <c r="CM67" s="355"/>
      <c r="CN67" s="355"/>
      <c r="CO67" s="355"/>
      <c r="CP67" s="355"/>
      <c r="CQ67" s="355"/>
      <c r="CR67" s="355"/>
      <c r="CS67" s="355"/>
    </row>
    <row r="68" spans="1:97" ht="35.25" customHeight="1" x14ac:dyDescent="0.3">
      <c r="A68" s="264" t="s">
        <v>76</v>
      </c>
      <c r="B68" s="158"/>
      <c r="C68" s="278">
        <f>G35</f>
        <v>14.524342863315141</v>
      </c>
      <c r="D68" s="278">
        <f>G36</f>
        <v>14.580682594148977</v>
      </c>
      <c r="E68" s="279">
        <f>G34</f>
        <v>14.55895442950707</v>
      </c>
      <c r="F68" s="280"/>
      <c r="K68" s="112"/>
      <c r="L68" s="112"/>
      <c r="M68" s="112"/>
      <c r="N68" s="112"/>
      <c r="O68" s="112"/>
      <c r="P68" s="180">
        <v>46109.041665914352</v>
      </c>
      <c r="Q68" s="914">
        <v>0.25</v>
      </c>
      <c r="R68" s="166">
        <v>767.99</v>
      </c>
      <c r="S68" s="170">
        <v>861.8</v>
      </c>
      <c r="T68" s="702">
        <v>795.59427594747206</v>
      </c>
      <c r="U68" s="170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112"/>
      <c r="AL68" s="31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55"/>
      <c r="BI68" s="375"/>
      <c r="BJ68" s="375"/>
      <c r="BK68" s="375"/>
      <c r="BL68" s="378"/>
      <c r="BM68" s="378"/>
      <c r="BN68" s="378"/>
      <c r="BO68" s="378"/>
      <c r="BP68" s="378"/>
      <c r="BQ68" s="378"/>
      <c r="BR68" s="378"/>
      <c r="BS68" s="378"/>
      <c r="BT68" s="378"/>
      <c r="BU68" s="378"/>
      <c r="BV68" s="378"/>
      <c r="BW68" s="378"/>
      <c r="BX68" s="378"/>
      <c r="BY68" s="378"/>
      <c r="BZ68" s="378"/>
      <c r="CA68" s="378"/>
      <c r="CB68" s="355"/>
      <c r="CC68" s="355"/>
      <c r="CD68" s="355"/>
      <c r="CE68" s="355"/>
      <c r="CF68" s="355"/>
      <c r="CG68" s="355"/>
      <c r="CH68" s="355"/>
      <c r="CI68" s="355"/>
      <c r="CJ68" s="355"/>
      <c r="CK68" s="355"/>
      <c r="CL68" s="355"/>
      <c r="CM68" s="355"/>
      <c r="CN68" s="355"/>
      <c r="CO68" s="355"/>
      <c r="CP68" s="355"/>
      <c r="CQ68" s="355"/>
      <c r="CR68" s="355"/>
      <c r="CS68" s="355"/>
    </row>
    <row r="69" spans="1:97" ht="35.25" customHeight="1" thickBot="1" x14ac:dyDescent="0.35">
      <c r="A69" s="265" t="s">
        <v>77</v>
      </c>
      <c r="B69" s="266"/>
      <c r="C69" s="267" t="s">
        <v>12</v>
      </c>
      <c r="D69" s="267" t="s">
        <v>12</v>
      </c>
      <c r="E69" s="268" t="s">
        <v>12</v>
      </c>
      <c r="F69" s="280"/>
      <c r="G69" s="112"/>
      <c r="K69" s="112"/>
      <c r="L69" s="112"/>
      <c r="M69" s="112"/>
      <c r="N69" s="112"/>
      <c r="O69" s="112"/>
      <c r="P69" s="180">
        <v>46109.083332523151</v>
      </c>
      <c r="Q69" s="914">
        <v>0.25</v>
      </c>
      <c r="R69" s="166">
        <v>767.99</v>
      </c>
      <c r="S69" s="170">
        <v>861.8</v>
      </c>
      <c r="T69" s="702">
        <v>795.59427594747206</v>
      </c>
      <c r="U69" s="170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31"/>
      <c r="AM69" s="371"/>
      <c r="AN69" s="371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55"/>
      <c r="BI69" s="375"/>
      <c r="BJ69" s="375"/>
      <c r="BK69" s="375"/>
      <c r="BL69" s="378"/>
      <c r="BM69" s="378"/>
      <c r="BN69" s="378"/>
      <c r="BO69" s="378"/>
      <c r="BP69" s="378"/>
      <c r="BQ69" s="378"/>
      <c r="BR69" s="378"/>
      <c r="BS69" s="378"/>
      <c r="BT69" s="378"/>
      <c r="BU69" s="378"/>
      <c r="BV69" s="378"/>
      <c r="BW69" s="378"/>
      <c r="BX69" s="378"/>
      <c r="BY69" s="378"/>
      <c r="BZ69" s="378"/>
      <c r="CA69" s="378"/>
      <c r="CB69" s="355"/>
      <c r="CC69" s="355"/>
      <c r="CD69" s="355"/>
      <c r="CE69" s="355"/>
      <c r="CF69" s="355"/>
      <c r="CG69" s="355"/>
      <c r="CH69" s="355"/>
      <c r="CI69" s="355"/>
      <c r="CJ69" s="355"/>
      <c r="CK69" s="355"/>
      <c r="CL69" s="355"/>
      <c r="CM69" s="355"/>
      <c r="CN69" s="355"/>
      <c r="CO69" s="355"/>
      <c r="CP69" s="355"/>
      <c r="CQ69" s="355"/>
      <c r="CR69" s="355"/>
      <c r="CS69" s="355"/>
    </row>
    <row r="70" spans="1:97" ht="35.25" customHeight="1" x14ac:dyDescent="0.25">
      <c r="B70" s="80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667">
        <v>46109.124999131942</v>
      </c>
      <c r="Q70" s="171">
        <v>0.2</v>
      </c>
      <c r="R70" s="171">
        <v>768.45</v>
      </c>
      <c r="S70" s="666">
        <v>861.8</v>
      </c>
      <c r="T70" s="702">
        <v>795.59427594747206</v>
      </c>
      <c r="U70" s="17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72"/>
      <c r="AM70" s="355"/>
      <c r="AN70" s="355"/>
      <c r="AO70" s="355"/>
      <c r="AP70" s="355"/>
      <c r="AQ70" s="355"/>
      <c r="AR70" s="355"/>
      <c r="AS70" s="355"/>
      <c r="AT70" s="355"/>
      <c r="AU70" s="355"/>
      <c r="AV70" s="355"/>
      <c r="AW70" s="355"/>
      <c r="AX70" s="355"/>
      <c r="AY70" s="355"/>
      <c r="AZ70" s="355"/>
      <c r="BA70" s="355"/>
      <c r="BB70" s="355"/>
      <c r="BC70" s="355"/>
      <c r="BD70" s="355"/>
      <c r="BE70" s="355"/>
      <c r="BF70" s="355"/>
      <c r="BG70" s="355"/>
      <c r="BH70" s="355"/>
      <c r="BI70" s="378"/>
      <c r="BJ70" s="378"/>
      <c r="BK70" s="378"/>
      <c r="BL70" s="378"/>
      <c r="BM70" s="378"/>
      <c r="BN70" s="378"/>
      <c r="BO70" s="378"/>
      <c r="BP70" s="378"/>
      <c r="BQ70" s="378"/>
      <c r="BR70" s="378"/>
      <c r="BS70" s="378"/>
      <c r="BT70" s="378"/>
      <c r="BU70" s="378"/>
      <c r="BV70" s="378"/>
      <c r="BW70" s="378"/>
      <c r="BX70" s="378"/>
      <c r="BY70" s="378"/>
      <c r="BZ70" s="378"/>
      <c r="CA70" s="378"/>
      <c r="CB70" s="355"/>
      <c r="CC70" s="355"/>
      <c r="CD70" s="355"/>
      <c r="CE70" s="355"/>
      <c r="CF70" s="355"/>
      <c r="CG70" s="355"/>
      <c r="CH70" s="355"/>
      <c r="CI70" s="355"/>
      <c r="CJ70" s="355"/>
      <c r="CK70" s="355"/>
      <c r="CL70" s="355"/>
      <c r="CM70" s="355"/>
      <c r="CN70" s="355"/>
      <c r="CO70" s="355"/>
      <c r="CP70" s="355"/>
      <c r="CQ70" s="355"/>
      <c r="CR70" s="355"/>
      <c r="CS70" s="355"/>
    </row>
    <row r="71" spans="1:97" ht="35.25" customHeight="1" x14ac:dyDescent="0.25">
      <c r="B71" s="80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180">
        <v>46109.16666574074</v>
      </c>
      <c r="Q71" s="166">
        <v>0.2</v>
      </c>
      <c r="R71" s="166">
        <v>768.45</v>
      </c>
      <c r="S71" s="170">
        <v>861.8</v>
      </c>
      <c r="T71" s="702">
        <v>795.59427594747206</v>
      </c>
      <c r="U71" s="17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M71" s="355"/>
      <c r="AN71" s="355"/>
      <c r="AO71" s="355"/>
      <c r="AP71" s="355"/>
      <c r="AQ71" s="355"/>
      <c r="AR71" s="355"/>
      <c r="AS71" s="355"/>
      <c r="AT71" s="355"/>
      <c r="AU71" s="355"/>
      <c r="AV71" s="355"/>
      <c r="AW71" s="355"/>
      <c r="AX71" s="355"/>
      <c r="AY71" s="355"/>
      <c r="AZ71" s="355"/>
      <c r="BA71" s="355"/>
      <c r="BB71" s="355"/>
      <c r="BC71" s="355"/>
      <c r="BD71" s="355"/>
      <c r="BE71" s="355"/>
      <c r="BF71" s="355"/>
      <c r="BG71" s="355"/>
      <c r="BH71" s="355"/>
      <c r="BI71" s="378"/>
      <c r="BJ71" s="378"/>
      <c r="BK71" s="378"/>
      <c r="BL71" s="378"/>
      <c r="BM71" s="378"/>
      <c r="BN71" s="378"/>
      <c r="BO71" s="378"/>
      <c r="BP71" s="378"/>
      <c r="BQ71" s="378"/>
      <c r="BR71" s="378"/>
      <c r="BS71" s="378"/>
      <c r="BT71" s="378"/>
      <c r="BU71" s="378"/>
      <c r="BV71" s="378"/>
      <c r="BW71" s="378"/>
      <c r="BX71" s="378"/>
      <c r="BY71" s="378"/>
      <c r="BZ71" s="378"/>
      <c r="CA71" s="378"/>
      <c r="CB71" s="355"/>
      <c r="CC71" s="355"/>
      <c r="CD71" s="355"/>
      <c r="CE71" s="355"/>
      <c r="CF71" s="355"/>
      <c r="CG71" s="355"/>
      <c r="CH71" s="355"/>
      <c r="CI71" s="355"/>
      <c r="CJ71" s="355"/>
      <c r="CK71" s="355"/>
      <c r="CL71" s="355"/>
      <c r="CM71" s="355"/>
      <c r="CN71" s="355"/>
      <c r="CO71" s="355"/>
      <c r="CP71" s="355"/>
      <c r="CQ71" s="355"/>
      <c r="CR71" s="355"/>
      <c r="CS71" s="355"/>
    </row>
    <row r="72" spans="1:97" ht="35.25" customHeight="1" x14ac:dyDescent="0.25">
      <c r="B72" s="80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180">
        <v>46109.208332349539</v>
      </c>
      <c r="Q72" s="166">
        <v>0.2</v>
      </c>
      <c r="R72" s="166">
        <v>768.45</v>
      </c>
      <c r="S72" s="170">
        <v>861.8</v>
      </c>
      <c r="T72" s="702">
        <v>795.59427594747206</v>
      </c>
      <c r="U72" s="17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M72" s="355"/>
      <c r="AN72" s="355"/>
      <c r="AO72" s="355"/>
      <c r="AP72" s="355"/>
      <c r="AQ72" s="355"/>
      <c r="AR72" s="355"/>
      <c r="AS72" s="355"/>
      <c r="AT72" s="355"/>
      <c r="AU72" s="355"/>
      <c r="AV72" s="355"/>
      <c r="AW72" s="355"/>
      <c r="AX72" s="355"/>
      <c r="AY72" s="355"/>
      <c r="AZ72" s="355"/>
      <c r="BA72" s="355"/>
      <c r="BB72" s="355"/>
      <c r="BC72" s="355"/>
      <c r="BD72" s="355"/>
      <c r="BE72" s="355"/>
      <c r="BF72" s="355"/>
      <c r="BG72" s="355"/>
      <c r="BH72" s="355"/>
      <c r="BI72" s="378"/>
      <c r="BJ72" s="378"/>
      <c r="BK72" s="378"/>
      <c r="BL72" s="378"/>
      <c r="BM72" s="378"/>
      <c r="BN72" s="378"/>
      <c r="BO72" s="378"/>
      <c r="BP72" s="378"/>
      <c r="BQ72" s="378"/>
      <c r="BR72" s="378"/>
      <c r="BS72" s="378"/>
      <c r="BT72" s="378"/>
      <c r="BU72" s="378"/>
      <c r="BV72" s="378"/>
      <c r="BW72" s="378"/>
      <c r="BX72" s="378"/>
      <c r="BY72" s="378"/>
      <c r="BZ72" s="378"/>
      <c r="CA72" s="378"/>
      <c r="CB72" s="355"/>
      <c r="CC72" s="355"/>
      <c r="CD72" s="355"/>
      <c r="CE72" s="355"/>
      <c r="CF72" s="355"/>
      <c r="CG72" s="355"/>
      <c r="CH72" s="355"/>
      <c r="CI72" s="355"/>
      <c r="CJ72" s="355"/>
      <c r="CK72" s="355"/>
      <c r="CL72" s="355"/>
      <c r="CM72" s="355"/>
      <c r="CN72" s="355"/>
      <c r="CO72" s="355"/>
      <c r="CP72" s="355"/>
      <c r="CQ72" s="355"/>
      <c r="CR72" s="355"/>
      <c r="CS72" s="355"/>
    </row>
    <row r="73" spans="1:97" ht="35.25" customHeight="1" x14ac:dyDescent="0.25">
      <c r="A73" s="80"/>
      <c r="B73" s="80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180">
        <v>46109.24999895833</v>
      </c>
      <c r="Q73" s="166">
        <v>0.2</v>
      </c>
      <c r="R73" s="166">
        <v>768.45</v>
      </c>
      <c r="S73" s="170">
        <v>861.8</v>
      </c>
      <c r="T73" s="702">
        <v>795.59427594747206</v>
      </c>
      <c r="U73" s="17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M73" s="355"/>
      <c r="AN73" s="355"/>
      <c r="AO73" s="362"/>
      <c r="AP73" s="355"/>
      <c r="AQ73" s="355"/>
      <c r="AR73" s="355"/>
      <c r="AS73" s="355"/>
      <c r="AT73" s="355"/>
      <c r="AU73" s="355"/>
      <c r="AV73" s="355"/>
      <c r="AW73" s="355"/>
      <c r="AX73" s="355"/>
      <c r="AY73" s="355"/>
      <c r="AZ73" s="355"/>
      <c r="BA73" s="355"/>
      <c r="BB73" s="355"/>
      <c r="BC73" s="355"/>
      <c r="BD73" s="355"/>
      <c r="BE73" s="355"/>
      <c r="BF73" s="355"/>
      <c r="BG73" s="355"/>
      <c r="BH73" s="355"/>
      <c r="BI73" s="378"/>
      <c r="BJ73" s="378"/>
      <c r="BK73" s="378"/>
      <c r="BL73" s="378"/>
      <c r="BM73" s="378"/>
      <c r="BN73" s="378"/>
      <c r="BO73" s="378"/>
      <c r="BP73" s="378"/>
      <c r="BQ73" s="378"/>
      <c r="BR73" s="378"/>
      <c r="BS73" s="378"/>
      <c r="BT73" s="378"/>
      <c r="BU73" s="378"/>
      <c r="BV73" s="378"/>
      <c r="BW73" s="378"/>
      <c r="BX73" s="378"/>
      <c r="BY73" s="378"/>
      <c r="BZ73" s="378"/>
      <c r="CA73" s="378"/>
      <c r="CB73" s="355"/>
      <c r="CC73" s="355"/>
      <c r="CD73" s="355"/>
      <c r="CE73" s="355"/>
      <c r="CF73" s="355"/>
      <c r="CG73" s="355"/>
      <c r="CH73" s="355"/>
      <c r="CI73" s="355"/>
      <c r="CJ73" s="355"/>
      <c r="CK73" s="355"/>
      <c r="CL73" s="355"/>
      <c r="CM73" s="355"/>
      <c r="CN73" s="355"/>
      <c r="CO73" s="355"/>
      <c r="CP73" s="355"/>
      <c r="CQ73" s="355"/>
      <c r="CR73" s="355"/>
      <c r="CS73" s="355"/>
    </row>
    <row r="74" spans="1:97" ht="35.25" customHeight="1" thickBot="1" x14ac:dyDescent="0.3">
      <c r="A74" s="80"/>
      <c r="B74" s="80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180">
        <v>46109.291665567129</v>
      </c>
      <c r="Q74" s="166">
        <v>0.2</v>
      </c>
      <c r="R74" s="166">
        <v>768.45</v>
      </c>
      <c r="S74" s="170">
        <v>861.8</v>
      </c>
      <c r="T74" s="702">
        <v>795.59427594747206</v>
      </c>
      <c r="U74" s="17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M74" s="355"/>
      <c r="AN74" s="355"/>
      <c r="AO74" s="362"/>
      <c r="AP74" s="355"/>
      <c r="AQ74" s="355"/>
      <c r="AR74" s="355"/>
      <c r="AS74" s="355"/>
      <c r="AT74" s="355"/>
      <c r="AU74" s="355"/>
      <c r="AV74" s="355"/>
      <c r="AW74" s="355"/>
      <c r="AX74" s="355"/>
      <c r="AY74" s="355"/>
      <c r="AZ74" s="355"/>
      <c r="BA74" s="355"/>
      <c r="BB74" s="355"/>
      <c r="BC74" s="355"/>
      <c r="BD74" s="355"/>
      <c r="BE74" s="355"/>
      <c r="BF74" s="355"/>
      <c r="BG74" s="355"/>
      <c r="BH74" s="355"/>
      <c r="BI74" s="378"/>
      <c r="BJ74" s="378"/>
      <c r="BK74" s="378"/>
      <c r="BL74" s="378"/>
      <c r="BM74" s="378"/>
      <c r="BN74" s="378"/>
      <c r="BO74" s="378"/>
      <c r="BP74" s="378"/>
      <c r="BQ74" s="378"/>
      <c r="BR74" s="378"/>
      <c r="BS74" s="378"/>
      <c r="BT74" s="378"/>
      <c r="BU74" s="378"/>
      <c r="BV74" s="378"/>
      <c r="BW74" s="378"/>
      <c r="BX74" s="378"/>
      <c r="BY74" s="378"/>
      <c r="BZ74" s="378"/>
      <c r="CA74" s="378"/>
      <c r="CB74" s="355"/>
      <c r="CC74" s="355"/>
      <c r="CD74" s="355"/>
      <c r="CE74" s="355"/>
      <c r="CF74" s="355"/>
      <c r="CG74" s="355"/>
      <c r="CH74" s="355"/>
      <c r="CI74" s="355"/>
      <c r="CJ74" s="355"/>
      <c r="CK74" s="355"/>
      <c r="CL74" s="355"/>
      <c r="CM74" s="355"/>
      <c r="CN74" s="355"/>
      <c r="CO74" s="355"/>
      <c r="CP74" s="355"/>
      <c r="CQ74" s="355"/>
      <c r="CR74" s="355"/>
      <c r="CS74" s="355"/>
    </row>
    <row r="75" spans="1:97" ht="44.25" customHeight="1" x14ac:dyDescent="0.25">
      <c r="A75" s="294" t="s">
        <v>59</v>
      </c>
      <c r="B75" s="295"/>
      <c r="C75" s="920" t="s">
        <v>742</v>
      </c>
      <c r="D75" s="920" t="s">
        <v>743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180">
        <v>46109.333332175927</v>
      </c>
      <c r="Q75" s="166">
        <v>0.2</v>
      </c>
      <c r="R75" s="166">
        <v>768.45</v>
      </c>
      <c r="S75" s="170">
        <v>861.8</v>
      </c>
      <c r="T75" s="702">
        <v>795.59427594747206</v>
      </c>
      <c r="U75" s="17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M75" s="355"/>
      <c r="AN75" s="355"/>
      <c r="AO75" s="362"/>
      <c r="AP75" s="355"/>
      <c r="AQ75" s="355"/>
      <c r="AR75" s="355"/>
      <c r="AS75" s="355"/>
      <c r="AT75" s="355"/>
      <c r="AU75" s="355"/>
      <c r="AV75" s="355"/>
      <c r="AW75" s="355"/>
      <c r="AX75" s="355"/>
      <c r="AY75" s="355"/>
      <c r="AZ75" s="355"/>
      <c r="BA75" s="355"/>
      <c r="BB75" s="355"/>
      <c r="BC75" s="355"/>
      <c r="BD75" s="355"/>
      <c r="BE75" s="355"/>
      <c r="BF75" s="355"/>
      <c r="BG75" s="355"/>
      <c r="BH75" s="355"/>
      <c r="BI75" s="378"/>
      <c r="BJ75" s="378"/>
      <c r="BK75" s="378"/>
      <c r="BL75" s="378"/>
      <c r="BM75" s="378"/>
      <c r="BN75" s="378"/>
      <c r="BO75" s="378"/>
      <c r="BP75" s="378"/>
      <c r="BQ75" s="378"/>
      <c r="BR75" s="378"/>
      <c r="BS75" s="378"/>
      <c r="BT75" s="378"/>
      <c r="BU75" s="378"/>
      <c r="BV75" s="378"/>
      <c r="BW75" s="378"/>
      <c r="BX75" s="378"/>
      <c r="BY75" s="378"/>
      <c r="BZ75" s="378"/>
      <c r="CA75" s="378"/>
      <c r="CB75" s="355"/>
      <c r="CC75" s="355"/>
      <c r="CD75" s="355"/>
      <c r="CE75" s="355"/>
      <c r="CF75" s="355"/>
      <c r="CG75" s="355"/>
      <c r="CH75" s="355"/>
      <c r="CI75" s="355"/>
      <c r="CJ75" s="355"/>
      <c r="CK75" s="355"/>
      <c r="CL75" s="355"/>
      <c r="CM75" s="355"/>
      <c r="CN75" s="355"/>
      <c r="CO75" s="355"/>
      <c r="CP75" s="355"/>
      <c r="CQ75" s="355"/>
      <c r="CR75" s="355"/>
      <c r="CS75" s="355"/>
    </row>
    <row r="76" spans="1:97" ht="44.25" customHeight="1" x14ac:dyDescent="0.25">
      <c r="A76" s="290" t="s">
        <v>498</v>
      </c>
      <c r="B76" s="291"/>
      <c r="C76" s="302">
        <v>5521.0280000000012</v>
      </c>
      <c r="D76" s="289">
        <v>2562.3470000000002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180">
        <v>46109.374998784719</v>
      </c>
      <c r="Q76" s="166">
        <v>0.2</v>
      </c>
      <c r="R76" s="166">
        <v>768.45</v>
      </c>
      <c r="S76" s="170">
        <v>861.8</v>
      </c>
      <c r="T76" s="702">
        <v>795.59427594747206</v>
      </c>
      <c r="U76" s="17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M76" s="355"/>
      <c r="AN76" s="355"/>
      <c r="AO76" s="362"/>
      <c r="AP76" s="355"/>
      <c r="AQ76" s="355"/>
      <c r="AR76" s="355"/>
      <c r="AS76" s="355"/>
      <c r="AT76" s="355"/>
      <c r="AU76" s="355"/>
      <c r="AV76" s="355"/>
      <c r="AW76" s="355"/>
      <c r="AX76" s="355"/>
      <c r="AY76" s="355"/>
      <c r="AZ76" s="355"/>
      <c r="BA76" s="355"/>
      <c r="BB76" s="355"/>
      <c r="BC76" s="355"/>
      <c r="BD76" s="355"/>
      <c r="BE76" s="355"/>
      <c r="BF76" s="355"/>
      <c r="BG76" s="355"/>
      <c r="BH76" s="355"/>
      <c r="BI76" s="378"/>
      <c r="BJ76" s="378"/>
      <c r="BK76" s="378"/>
      <c r="BL76" s="378"/>
      <c r="BM76" s="378"/>
      <c r="BN76" s="378"/>
      <c r="BO76" s="378"/>
      <c r="BP76" s="378"/>
      <c r="BQ76" s="378"/>
      <c r="BR76" s="378"/>
      <c r="BS76" s="378"/>
      <c r="BT76" s="378"/>
      <c r="BU76" s="378"/>
      <c r="BV76" s="378"/>
      <c r="BW76" s="378"/>
      <c r="BX76" s="378"/>
      <c r="BY76" s="378"/>
      <c r="BZ76" s="378"/>
      <c r="CA76" s="378"/>
      <c r="CB76" s="355"/>
      <c r="CC76" s="355"/>
      <c r="CD76" s="355"/>
      <c r="CE76" s="355"/>
      <c r="CF76" s="355"/>
      <c r="CG76" s="355"/>
      <c r="CH76" s="355"/>
      <c r="CI76" s="355"/>
      <c r="CJ76" s="355"/>
      <c r="CK76" s="355"/>
      <c r="CL76" s="355"/>
      <c r="CM76" s="355"/>
      <c r="CN76" s="355"/>
      <c r="CO76" s="355"/>
      <c r="CP76" s="355"/>
      <c r="CQ76" s="355"/>
      <c r="CR76" s="355"/>
      <c r="CS76" s="355"/>
    </row>
    <row r="77" spans="1:97" ht="44.25" customHeight="1" x14ac:dyDescent="0.25">
      <c r="A77" s="264" t="s">
        <v>499</v>
      </c>
      <c r="B77" s="224"/>
      <c r="C77" s="269">
        <v>1849.616</v>
      </c>
      <c r="D77" s="262">
        <v>858.42000000000007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180">
        <v>46109.416665393517</v>
      </c>
      <c r="Q77" s="166">
        <v>0.2</v>
      </c>
      <c r="R77" s="166">
        <v>768.45</v>
      </c>
      <c r="S77" s="170">
        <v>861.8</v>
      </c>
      <c r="T77" s="702">
        <v>795.59427594747206</v>
      </c>
      <c r="U77" s="17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M77" s="355"/>
      <c r="AN77" s="355"/>
      <c r="AO77" s="362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55"/>
      <c r="BI77" s="378"/>
      <c r="BJ77" s="378"/>
      <c r="BK77" s="378"/>
      <c r="BL77" s="378"/>
      <c r="BM77" s="378"/>
      <c r="BN77" s="378"/>
      <c r="BO77" s="378"/>
      <c r="BP77" s="378"/>
      <c r="BQ77" s="378"/>
      <c r="BR77" s="378"/>
      <c r="BS77" s="378"/>
      <c r="BT77" s="378"/>
      <c r="BU77" s="378"/>
      <c r="BV77" s="378"/>
      <c r="BW77" s="378"/>
      <c r="BX77" s="378"/>
      <c r="BY77" s="378"/>
      <c r="BZ77" s="378"/>
      <c r="CA77" s="378"/>
      <c r="CB77" s="355"/>
      <c r="CC77" s="355"/>
      <c r="CD77" s="355"/>
      <c r="CE77" s="355"/>
      <c r="CF77" s="355"/>
      <c r="CG77" s="355"/>
      <c r="CH77" s="355"/>
      <c r="CI77" s="355"/>
      <c r="CJ77" s="355"/>
      <c r="CK77" s="355"/>
      <c r="CL77" s="355"/>
      <c r="CM77" s="355"/>
      <c r="CN77" s="355"/>
      <c r="CO77" s="355"/>
      <c r="CP77" s="355"/>
      <c r="CQ77" s="355"/>
      <c r="CR77" s="355"/>
      <c r="CS77" s="355"/>
    </row>
    <row r="78" spans="1:97" ht="44.25" customHeight="1" x14ac:dyDescent="0.25">
      <c r="A78" s="264" t="s">
        <v>501</v>
      </c>
      <c r="B78" s="224"/>
      <c r="C78" s="269">
        <v>4.886000000000001</v>
      </c>
      <c r="D78" s="262">
        <v>3.0960000000000001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180">
        <v>46109.458332002316</v>
      </c>
      <c r="Q78" s="166">
        <v>0.2</v>
      </c>
      <c r="R78" s="166">
        <v>768.45</v>
      </c>
      <c r="S78" s="170">
        <v>861.8</v>
      </c>
      <c r="T78" s="702">
        <v>795.59427594747206</v>
      </c>
      <c r="U78" s="17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M78" s="355"/>
      <c r="AN78" s="355"/>
      <c r="AO78" s="362"/>
      <c r="AP78" s="355"/>
      <c r="AQ78" s="355"/>
      <c r="AR78" s="355"/>
      <c r="AS78" s="355"/>
      <c r="AT78" s="355"/>
      <c r="AU78" s="355"/>
      <c r="AV78" s="355"/>
      <c r="AW78" s="355"/>
      <c r="AX78" s="355"/>
      <c r="AY78" s="355"/>
      <c r="AZ78" s="355"/>
      <c r="BA78" s="355"/>
      <c r="BB78" s="355"/>
      <c r="BC78" s="355"/>
      <c r="BD78" s="355"/>
      <c r="BE78" s="355"/>
      <c r="BF78" s="355"/>
      <c r="BG78" s="355"/>
      <c r="BH78" s="355"/>
      <c r="BI78" s="378"/>
      <c r="BJ78" s="378"/>
      <c r="BK78" s="378"/>
      <c r="BL78" s="378"/>
      <c r="BM78" s="378"/>
      <c r="BN78" s="378"/>
      <c r="BO78" s="378"/>
      <c r="BP78" s="378"/>
      <c r="BQ78" s="378"/>
      <c r="BR78" s="378"/>
      <c r="BS78" s="378"/>
      <c r="BT78" s="378"/>
      <c r="BU78" s="378"/>
      <c r="BV78" s="378"/>
      <c r="BW78" s="378"/>
      <c r="BX78" s="378"/>
      <c r="BY78" s="378"/>
      <c r="BZ78" s="378"/>
      <c r="CA78" s="378"/>
      <c r="CB78" s="355"/>
      <c r="CC78" s="355"/>
      <c r="CD78" s="355"/>
      <c r="CE78" s="355"/>
      <c r="CF78" s="355"/>
      <c r="CG78" s="355"/>
      <c r="CH78" s="355"/>
      <c r="CI78" s="355"/>
      <c r="CJ78" s="355"/>
      <c r="CK78" s="355"/>
      <c r="CL78" s="355"/>
      <c r="CM78" s="355"/>
      <c r="CN78" s="355"/>
      <c r="CO78" s="355"/>
      <c r="CP78" s="355"/>
      <c r="CQ78" s="355"/>
      <c r="CR78" s="355"/>
      <c r="CS78" s="355"/>
    </row>
    <row r="79" spans="1:97" ht="44.25" customHeight="1" x14ac:dyDescent="0.25">
      <c r="A79" s="264" t="s">
        <v>506</v>
      </c>
      <c r="B79" s="225"/>
      <c r="C79" s="269">
        <v>6420.3250000000007</v>
      </c>
      <c r="D79" s="262">
        <v>2980.2129999999997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703" t="s">
        <v>12</v>
      </c>
      <c r="Q79" s="707">
        <f>AVERAGE(Q55:Q78)</f>
        <v>0.18750000000000008</v>
      </c>
      <c r="R79" s="707">
        <v>768.13</v>
      </c>
      <c r="S79" s="704">
        <f>AVERAGE(S55:S78)</f>
        <v>861.88333333333287</v>
      </c>
      <c r="T79" s="704">
        <f>AVERAGE(T55:T78)</f>
        <v>795.59427594747228</v>
      </c>
      <c r="U79" s="705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M79" s="355"/>
      <c r="AN79" s="355"/>
      <c r="AO79" s="355"/>
      <c r="AP79" s="355"/>
      <c r="AQ79" s="355"/>
      <c r="AR79" s="355"/>
      <c r="AS79" s="355"/>
      <c r="AT79" s="355"/>
      <c r="AU79" s="355"/>
      <c r="AV79" s="355"/>
      <c r="AW79" s="355"/>
      <c r="AX79" s="355"/>
      <c r="AY79" s="355"/>
      <c r="AZ79" s="355"/>
      <c r="BA79" s="355"/>
      <c r="BB79" s="355"/>
      <c r="BC79" s="355"/>
      <c r="BD79" s="355"/>
      <c r="BE79" s="355"/>
      <c r="BF79" s="355"/>
      <c r="BG79" s="355"/>
      <c r="BH79" s="355"/>
      <c r="BI79" s="378"/>
      <c r="BJ79" s="378"/>
      <c r="BK79" s="378"/>
      <c r="BL79" s="378"/>
      <c r="BM79" s="378"/>
      <c r="BN79" s="378"/>
      <c r="BO79" s="378"/>
      <c r="BP79" s="378"/>
      <c r="BQ79" s="378"/>
      <c r="BR79" s="378"/>
      <c r="BS79" s="378"/>
      <c r="BT79" s="378"/>
      <c r="BU79" s="378"/>
      <c r="BV79" s="378"/>
      <c r="BW79" s="378"/>
      <c r="BX79" s="378"/>
      <c r="BY79" s="378"/>
      <c r="BZ79" s="378"/>
      <c r="CA79" s="378"/>
      <c r="CB79" s="355"/>
      <c r="CC79" s="355"/>
      <c r="CD79" s="355"/>
      <c r="CE79" s="355"/>
      <c r="CF79" s="355"/>
      <c r="CG79" s="355"/>
      <c r="CH79" s="355"/>
      <c r="CI79" s="355"/>
      <c r="CJ79" s="355"/>
      <c r="CK79" s="355"/>
      <c r="CL79" s="355"/>
      <c r="CM79" s="355"/>
      <c r="CN79" s="355"/>
      <c r="CO79" s="355"/>
      <c r="CP79" s="355"/>
      <c r="CQ79" s="355"/>
      <c r="CR79" s="355"/>
      <c r="CS79" s="355"/>
    </row>
    <row r="80" spans="1:97" ht="44.25" customHeight="1" x14ac:dyDescent="0.25">
      <c r="A80" s="264" t="s">
        <v>508</v>
      </c>
      <c r="B80" s="225"/>
      <c r="C80" s="269">
        <v>2123.6849999999999</v>
      </c>
      <c r="D80" s="262">
        <v>985.61899999999991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M80" s="355"/>
      <c r="AN80" s="355"/>
      <c r="AO80" s="355"/>
      <c r="AP80" s="355"/>
      <c r="AQ80" s="355"/>
      <c r="AR80" s="355"/>
      <c r="AS80" s="355"/>
      <c r="AT80" s="355"/>
      <c r="AU80" s="355"/>
      <c r="AV80" s="355"/>
      <c r="AW80" s="355"/>
      <c r="AX80" s="355"/>
      <c r="AY80" s="355"/>
      <c r="AZ80" s="355"/>
      <c r="BA80" s="355"/>
      <c r="BB80" s="355"/>
      <c r="BC80" s="355"/>
      <c r="BD80" s="355"/>
      <c r="BE80" s="355"/>
      <c r="BF80" s="355"/>
      <c r="BG80" s="355"/>
      <c r="BH80" s="355"/>
      <c r="BI80" s="378"/>
      <c r="BJ80" s="378"/>
      <c r="BK80" s="378"/>
      <c r="BL80" s="378"/>
      <c r="BM80" s="378"/>
      <c r="BN80" s="378"/>
      <c r="BO80" s="378"/>
      <c r="BP80" s="378"/>
      <c r="BQ80" s="378"/>
      <c r="BR80" s="378"/>
      <c r="BS80" s="378"/>
      <c r="BT80" s="378"/>
      <c r="BU80" s="378"/>
      <c r="BV80" s="378"/>
      <c r="BW80" s="378"/>
      <c r="BX80" s="378"/>
      <c r="BY80" s="378"/>
      <c r="BZ80" s="378"/>
      <c r="CA80" s="378"/>
      <c r="CB80" s="355"/>
      <c r="CC80" s="355"/>
      <c r="CD80" s="355"/>
      <c r="CE80" s="355"/>
      <c r="CF80" s="355"/>
      <c r="CG80" s="355"/>
      <c r="CH80" s="355"/>
      <c r="CI80" s="355"/>
      <c r="CJ80" s="355"/>
      <c r="CK80" s="355"/>
      <c r="CL80" s="355"/>
      <c r="CM80" s="355"/>
      <c r="CN80" s="355"/>
      <c r="CO80" s="355"/>
      <c r="CP80" s="355"/>
      <c r="CQ80" s="355"/>
      <c r="CR80" s="355"/>
      <c r="CS80" s="355"/>
    </row>
    <row r="81" spans="1:97" ht="44.25" customHeight="1" thickBot="1" x14ac:dyDescent="0.3">
      <c r="A81" s="265" t="s">
        <v>509</v>
      </c>
      <c r="B81" s="271"/>
      <c r="C81" s="269">
        <v>3.9239999999999999</v>
      </c>
      <c r="D81" s="272">
        <v>2.4850000000000017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K81" s="80"/>
      <c r="AM81" s="355"/>
      <c r="AN81" s="355"/>
      <c r="AO81" s="355"/>
      <c r="AP81" s="355"/>
      <c r="AQ81" s="355"/>
      <c r="AR81" s="355"/>
      <c r="AS81" s="355"/>
      <c r="AT81" s="355"/>
      <c r="AU81" s="355"/>
      <c r="AV81" s="355"/>
      <c r="AW81" s="355"/>
      <c r="AX81" s="355"/>
      <c r="AY81" s="355"/>
      <c r="AZ81" s="355"/>
      <c r="BA81" s="355"/>
      <c r="BB81" s="355"/>
      <c r="BC81" s="355"/>
      <c r="BD81" s="355"/>
      <c r="BE81" s="355"/>
      <c r="BF81" s="355"/>
      <c r="BG81" s="355"/>
      <c r="BH81" s="355"/>
      <c r="BI81" s="355"/>
      <c r="BJ81" s="355"/>
      <c r="BK81" s="355"/>
      <c r="BL81" s="355"/>
      <c r="BM81" s="355"/>
      <c r="BN81" s="355"/>
      <c r="BO81" s="355"/>
      <c r="BP81" s="355"/>
      <c r="BQ81" s="355"/>
      <c r="BR81" s="355"/>
      <c r="BS81" s="355"/>
      <c r="BT81" s="355"/>
      <c r="BU81" s="355"/>
      <c r="BV81" s="355"/>
      <c r="BW81" s="355"/>
      <c r="BX81" s="355"/>
      <c r="BY81" s="355"/>
      <c r="BZ81" s="355"/>
      <c r="CA81" s="355"/>
      <c r="CB81" s="355"/>
      <c r="CC81" s="355"/>
      <c r="CD81" s="355"/>
      <c r="CE81" s="355"/>
      <c r="CF81" s="355"/>
      <c r="CG81" s="355"/>
      <c r="CH81" s="355"/>
      <c r="CI81" s="355"/>
      <c r="CJ81" s="355"/>
      <c r="CK81" s="355"/>
      <c r="CL81" s="355"/>
      <c r="CM81" s="355"/>
      <c r="CN81" s="355"/>
      <c r="CO81" s="355"/>
      <c r="CP81" s="355"/>
      <c r="CQ81" s="355"/>
      <c r="CR81" s="355"/>
      <c r="CS81" s="355"/>
    </row>
    <row r="82" spans="1:97" ht="44.25" customHeight="1" x14ac:dyDescent="0.25">
      <c r="A82" s="255" t="s">
        <v>510</v>
      </c>
      <c r="B82" s="263"/>
      <c r="C82" s="276">
        <v>55108.875000000015</v>
      </c>
      <c r="D82" s="276">
        <v>61084.708333333321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706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K82" s="80"/>
      <c r="AM82" s="355"/>
      <c r="AN82" s="355"/>
      <c r="AO82" s="355"/>
      <c r="AP82" s="355"/>
      <c r="AQ82" s="355"/>
      <c r="AR82" s="355"/>
      <c r="AS82" s="355"/>
      <c r="AT82" s="355"/>
      <c r="AU82" s="355"/>
      <c r="AV82" s="355"/>
      <c r="AW82" s="355"/>
      <c r="AX82" s="355"/>
      <c r="AY82" s="355"/>
      <c r="AZ82" s="355"/>
      <c r="BA82" s="355"/>
      <c r="BB82" s="355"/>
      <c r="BC82" s="355"/>
      <c r="BD82" s="355"/>
      <c r="BE82" s="355"/>
      <c r="BF82" s="355"/>
      <c r="BG82" s="355"/>
      <c r="BH82" s="355"/>
      <c r="BI82" s="355"/>
      <c r="BJ82" s="355"/>
      <c r="BK82" s="355"/>
      <c r="BL82" s="355"/>
      <c r="BM82" s="355"/>
      <c r="BN82" s="355"/>
      <c r="BO82" s="355"/>
      <c r="BP82" s="355"/>
      <c r="BQ82" s="355"/>
      <c r="BR82" s="355"/>
      <c r="BS82" s="355"/>
      <c r="BT82" s="355"/>
      <c r="BU82" s="355"/>
      <c r="BV82" s="355"/>
      <c r="BW82" s="355"/>
      <c r="BX82" s="355"/>
      <c r="BY82" s="355"/>
      <c r="BZ82" s="355"/>
      <c r="CA82" s="355"/>
      <c r="CB82" s="355"/>
      <c r="CC82" s="355"/>
      <c r="CD82" s="355"/>
      <c r="CE82" s="355"/>
      <c r="CF82" s="355"/>
      <c r="CG82" s="355"/>
      <c r="CH82" s="355"/>
      <c r="CI82" s="355"/>
      <c r="CJ82" s="355"/>
      <c r="CK82" s="355"/>
      <c r="CL82" s="355"/>
      <c r="CM82" s="355"/>
      <c r="CN82" s="355"/>
      <c r="CO82" s="355"/>
      <c r="CP82" s="355"/>
      <c r="CQ82" s="355"/>
      <c r="CR82" s="355"/>
      <c r="CS82" s="355"/>
    </row>
    <row r="83" spans="1:97" ht="44.25" customHeight="1" x14ac:dyDescent="0.25">
      <c r="A83" s="264" t="s">
        <v>513</v>
      </c>
      <c r="B83" s="158"/>
      <c r="C83" s="278">
        <v>82.201250000000002</v>
      </c>
      <c r="D83" s="278">
        <v>76.377083333333346</v>
      </c>
      <c r="E83" s="28"/>
      <c r="F83" s="28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29"/>
      <c r="AM83" s="355"/>
      <c r="AN83" s="355"/>
      <c r="AO83" s="355"/>
      <c r="AP83" s="355"/>
      <c r="AQ83" s="355"/>
      <c r="AR83" s="355"/>
      <c r="AS83" s="355"/>
      <c r="AT83" s="355"/>
      <c r="AU83" s="355"/>
      <c r="AV83" s="355"/>
      <c r="AW83" s="355"/>
      <c r="AX83" s="355"/>
      <c r="AY83" s="355"/>
      <c r="AZ83" s="355"/>
      <c r="BA83" s="355"/>
      <c r="BB83" s="355"/>
      <c r="BC83" s="355"/>
      <c r="BD83" s="355"/>
      <c r="BE83" s="355"/>
      <c r="BF83" s="355"/>
      <c r="BG83" s="355"/>
      <c r="BH83" s="355"/>
      <c r="BI83" s="355"/>
      <c r="BJ83" s="355"/>
      <c r="BK83" s="355"/>
      <c r="BL83" s="355"/>
      <c r="BM83" s="355"/>
      <c r="BN83" s="355"/>
      <c r="BO83" s="355"/>
      <c r="BP83" s="355"/>
      <c r="BQ83" s="355"/>
      <c r="BR83" s="355"/>
      <c r="BS83" s="355"/>
      <c r="BT83" s="355"/>
      <c r="BU83" s="355"/>
      <c r="BV83" s="355"/>
      <c r="BW83" s="355"/>
      <c r="BX83" s="355"/>
      <c r="BY83" s="355"/>
      <c r="BZ83" s="355"/>
      <c r="CA83" s="355"/>
      <c r="CB83" s="355"/>
      <c r="CC83" s="355"/>
      <c r="CD83" s="355"/>
      <c r="CE83" s="355"/>
      <c r="CF83" s="355"/>
      <c r="CG83" s="355"/>
      <c r="CH83" s="355"/>
      <c r="CI83" s="355"/>
      <c r="CJ83" s="355"/>
      <c r="CK83" s="355"/>
      <c r="CL83" s="355"/>
      <c r="CM83" s="355"/>
      <c r="CN83" s="355"/>
      <c r="CO83" s="355"/>
      <c r="CP83" s="355"/>
      <c r="CQ83" s="355"/>
      <c r="CR83" s="355"/>
      <c r="CS83" s="355"/>
    </row>
    <row r="84" spans="1:97" ht="44.25" customHeight="1" x14ac:dyDescent="0.25">
      <c r="A84" s="264" t="s">
        <v>75</v>
      </c>
      <c r="B84" s="158"/>
      <c r="C84" s="278">
        <v>213.80644673795206</v>
      </c>
      <c r="D84" s="278">
        <v>45.336188303012833</v>
      </c>
      <c r="E84" s="28"/>
      <c r="F84" s="28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M84" s="355"/>
      <c r="AN84" s="355"/>
      <c r="AO84" s="355"/>
      <c r="AP84" s="355"/>
      <c r="AQ84" s="355"/>
      <c r="AR84" s="355"/>
      <c r="AS84" s="355"/>
      <c r="AT84" s="355"/>
      <c r="AU84" s="355"/>
      <c r="AV84" s="355"/>
      <c r="AW84" s="355"/>
      <c r="AX84" s="355"/>
      <c r="AY84" s="355"/>
      <c r="AZ84" s="355"/>
      <c r="BA84" s="355"/>
      <c r="BB84" s="355"/>
      <c r="BC84" s="355"/>
      <c r="BD84" s="355"/>
      <c r="BE84" s="355"/>
      <c r="BF84" s="355"/>
      <c r="BG84" s="355"/>
      <c r="BH84" s="355"/>
      <c r="BI84" s="355"/>
      <c r="BJ84" s="355"/>
      <c r="BK84" s="355"/>
      <c r="BL84" s="355"/>
      <c r="BM84" s="355"/>
      <c r="BN84" s="355"/>
      <c r="BO84" s="355"/>
      <c r="BP84" s="355"/>
      <c r="BQ84" s="355"/>
      <c r="BR84" s="355"/>
      <c r="BS84" s="355"/>
      <c r="BT84" s="355"/>
      <c r="BU84" s="355"/>
      <c r="BV84" s="355"/>
      <c r="BW84" s="355"/>
      <c r="BX84" s="355"/>
      <c r="BY84" s="355"/>
      <c r="BZ84" s="355"/>
      <c r="CA84" s="355"/>
      <c r="CB84" s="355"/>
      <c r="CC84" s="355"/>
      <c r="CD84" s="355"/>
      <c r="CE84" s="355"/>
      <c r="CF84" s="355"/>
      <c r="CG84" s="355"/>
      <c r="CH84" s="355"/>
      <c r="CI84" s="355"/>
      <c r="CJ84" s="355"/>
      <c r="CK84" s="355"/>
      <c r="CL84" s="355"/>
      <c r="CM84" s="355"/>
      <c r="CN84" s="355"/>
      <c r="CO84" s="355"/>
      <c r="CP84" s="355"/>
      <c r="CQ84" s="355"/>
      <c r="CR84" s="355"/>
      <c r="CS84" s="355"/>
    </row>
    <row r="85" spans="1:97" ht="44.25" customHeight="1" x14ac:dyDescent="0.25">
      <c r="A85" s="264" t="s">
        <v>76</v>
      </c>
      <c r="B85" s="158"/>
      <c r="C85" s="278">
        <v>14.55895442950707</v>
      </c>
      <c r="D85" s="278">
        <v>6.5799653898477155</v>
      </c>
      <c r="E85" s="28"/>
      <c r="F85" s="28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AK85" s="81"/>
      <c r="AM85" s="355"/>
      <c r="AN85" s="355"/>
      <c r="AO85" s="355"/>
      <c r="AP85" s="355"/>
      <c r="AQ85" s="355"/>
      <c r="AR85" s="355"/>
      <c r="AS85" s="355"/>
      <c r="AT85" s="355"/>
      <c r="AU85" s="355"/>
      <c r="AV85" s="355"/>
      <c r="AW85" s="355"/>
      <c r="AX85" s="355"/>
      <c r="AY85" s="355"/>
      <c r="AZ85" s="355"/>
      <c r="BA85" s="355"/>
      <c r="BB85" s="355"/>
      <c r="BC85" s="355"/>
      <c r="BD85" s="355"/>
      <c r="BE85" s="355"/>
      <c r="BF85" s="355"/>
      <c r="BG85" s="355"/>
      <c r="BH85" s="355"/>
      <c r="BI85" s="355"/>
      <c r="BJ85" s="355"/>
      <c r="BK85" s="355"/>
      <c r="BL85" s="355"/>
      <c r="BM85" s="355"/>
      <c r="BN85" s="355"/>
      <c r="BO85" s="355"/>
      <c r="BP85" s="355"/>
      <c r="BQ85" s="355"/>
      <c r="BR85" s="355"/>
      <c r="BS85" s="355"/>
      <c r="BT85" s="355"/>
      <c r="BU85" s="355"/>
      <c r="BV85" s="355"/>
      <c r="BW85" s="355"/>
      <c r="BX85" s="355"/>
      <c r="BY85" s="355"/>
      <c r="BZ85" s="355"/>
      <c r="CA85" s="355"/>
      <c r="CB85" s="355"/>
      <c r="CC85" s="355"/>
      <c r="CD85" s="355"/>
      <c r="CE85" s="355"/>
      <c r="CF85" s="355"/>
      <c r="CG85" s="355"/>
      <c r="CH85" s="355"/>
      <c r="CI85" s="355"/>
      <c r="CJ85" s="355"/>
      <c r="CK85" s="355"/>
      <c r="CL85" s="355"/>
      <c r="CM85" s="355"/>
      <c r="CN85" s="355"/>
      <c r="CO85" s="355"/>
      <c r="CP85" s="355"/>
      <c r="CQ85" s="355"/>
      <c r="CR85" s="355"/>
      <c r="CS85" s="355"/>
    </row>
    <row r="86" spans="1:97" ht="21" customHeight="1" x14ac:dyDescent="0.25">
      <c r="B86" s="35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AM86" s="355"/>
      <c r="AN86" s="355"/>
      <c r="AO86" s="355"/>
      <c r="AP86" s="355"/>
      <c r="AQ86" s="355"/>
      <c r="AR86" s="355"/>
      <c r="AS86" s="355"/>
      <c r="AT86" s="355"/>
      <c r="AU86" s="355"/>
      <c r="AV86" s="355"/>
      <c r="AW86" s="355"/>
      <c r="AX86" s="355"/>
      <c r="AY86" s="355"/>
      <c r="AZ86" s="355"/>
      <c r="BA86" s="355"/>
      <c r="BB86" s="355"/>
      <c r="BC86" s="355"/>
      <c r="BD86" s="355"/>
      <c r="BE86" s="355"/>
      <c r="BF86" s="355"/>
      <c r="BG86" s="355"/>
      <c r="BH86" s="355"/>
      <c r="BI86" s="355"/>
      <c r="BJ86" s="355"/>
      <c r="BK86" s="355"/>
      <c r="BL86" s="355"/>
      <c r="BM86" s="355"/>
      <c r="BN86" s="355"/>
      <c r="BO86" s="355"/>
      <c r="BP86" s="355"/>
      <c r="BQ86" s="355"/>
      <c r="BR86" s="355"/>
      <c r="BS86" s="355"/>
      <c r="BT86" s="355"/>
      <c r="BU86" s="355"/>
      <c r="BV86" s="355"/>
      <c r="BW86" s="355"/>
      <c r="BX86" s="355"/>
      <c r="BY86" s="355"/>
      <c r="BZ86" s="355"/>
      <c r="CA86" s="355"/>
      <c r="CB86" s="355"/>
      <c r="CC86" s="355"/>
      <c r="CD86" s="355"/>
      <c r="CE86" s="355"/>
      <c r="CF86" s="355"/>
      <c r="CG86" s="355"/>
      <c r="CH86" s="355"/>
      <c r="CI86" s="355"/>
      <c r="CJ86" s="355"/>
      <c r="CK86" s="355"/>
      <c r="CL86" s="355"/>
      <c r="CM86" s="355"/>
      <c r="CN86" s="355"/>
      <c r="CO86" s="355"/>
      <c r="CP86" s="355"/>
      <c r="CQ86" s="355"/>
      <c r="CR86" s="355"/>
      <c r="CS86" s="355"/>
    </row>
    <row r="87" spans="1:97" ht="21" customHeight="1" x14ac:dyDescent="0.25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AM87" s="355"/>
      <c r="AN87" s="355"/>
      <c r="AO87" s="355"/>
      <c r="AP87" s="355"/>
      <c r="AQ87" s="355"/>
      <c r="AR87" s="355"/>
      <c r="AS87" s="355"/>
      <c r="AT87" s="355"/>
      <c r="AU87" s="355"/>
      <c r="AV87" s="355"/>
      <c r="AW87" s="355"/>
      <c r="AX87" s="355"/>
      <c r="AY87" s="355"/>
      <c r="AZ87" s="355"/>
      <c r="BA87" s="355"/>
      <c r="BB87" s="355"/>
      <c r="BC87" s="355"/>
      <c r="BD87" s="355"/>
      <c r="BE87" s="355"/>
      <c r="BF87" s="355"/>
      <c r="BG87" s="355"/>
      <c r="BH87" s="355"/>
      <c r="BI87" s="355"/>
      <c r="BJ87" s="355"/>
      <c r="BK87" s="355"/>
      <c r="BL87" s="355"/>
      <c r="BM87" s="355"/>
      <c r="BN87" s="355"/>
      <c r="BO87" s="355"/>
      <c r="BP87" s="355"/>
      <c r="BQ87" s="355"/>
      <c r="BR87" s="355"/>
      <c r="BS87" s="355"/>
      <c r="BT87" s="355"/>
      <c r="BU87" s="355"/>
      <c r="BV87" s="355"/>
      <c r="BW87" s="355"/>
      <c r="BX87" s="355"/>
      <c r="BY87" s="355"/>
      <c r="BZ87" s="355"/>
      <c r="CA87" s="355"/>
      <c r="CB87" s="355"/>
      <c r="CC87" s="355"/>
      <c r="CD87" s="355"/>
      <c r="CE87" s="355"/>
      <c r="CF87" s="355"/>
      <c r="CG87" s="355"/>
      <c r="CH87" s="355"/>
      <c r="CI87" s="355"/>
      <c r="CJ87" s="355"/>
      <c r="CK87" s="355"/>
      <c r="CL87" s="355"/>
      <c r="CM87" s="355"/>
      <c r="CN87" s="355"/>
      <c r="CO87" s="355"/>
      <c r="CP87" s="355"/>
      <c r="CQ87" s="355"/>
      <c r="CR87" s="355"/>
      <c r="CS87" s="355"/>
    </row>
    <row r="88" spans="1:97" ht="21" customHeight="1" x14ac:dyDescent="0.25"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AM88" s="355"/>
      <c r="AN88" s="355"/>
      <c r="AO88" s="355"/>
      <c r="AP88" s="355"/>
      <c r="AQ88" s="355"/>
      <c r="AR88" s="355"/>
      <c r="AS88" s="355"/>
      <c r="AT88" s="355"/>
      <c r="AU88" s="355"/>
      <c r="AV88" s="355"/>
      <c r="AW88" s="355"/>
      <c r="AX88" s="355"/>
      <c r="AY88" s="355"/>
      <c r="AZ88" s="355"/>
      <c r="BA88" s="355"/>
      <c r="BB88" s="355"/>
      <c r="BC88" s="355"/>
      <c r="BD88" s="355"/>
      <c r="BE88" s="355"/>
      <c r="BF88" s="355"/>
      <c r="BG88" s="355"/>
      <c r="BH88" s="355"/>
      <c r="BI88" s="355"/>
      <c r="BJ88" s="355"/>
      <c r="BK88" s="355"/>
      <c r="BL88" s="355"/>
      <c r="BM88" s="355"/>
      <c r="BN88" s="355"/>
      <c r="BO88" s="355"/>
      <c r="BP88" s="355"/>
      <c r="BQ88" s="355"/>
      <c r="BR88" s="355"/>
      <c r="BS88" s="355"/>
      <c r="BT88" s="355"/>
      <c r="BU88" s="355"/>
      <c r="BV88" s="355"/>
      <c r="BW88" s="355"/>
      <c r="BX88" s="355"/>
      <c r="BY88" s="355"/>
      <c r="BZ88" s="355"/>
      <c r="CA88" s="355"/>
      <c r="CB88" s="355"/>
      <c r="CC88" s="355"/>
      <c r="CD88" s="355"/>
      <c r="CE88" s="355"/>
      <c r="CF88" s="355"/>
      <c r="CG88" s="355"/>
      <c r="CH88" s="355"/>
      <c r="CI88" s="355"/>
      <c r="CJ88" s="355"/>
      <c r="CK88" s="355"/>
      <c r="CL88" s="355"/>
      <c r="CM88" s="355"/>
      <c r="CN88" s="355"/>
      <c r="CO88" s="355"/>
      <c r="CP88" s="355"/>
      <c r="CQ88" s="355"/>
      <c r="CR88" s="355"/>
      <c r="CS88" s="355"/>
    </row>
    <row r="89" spans="1:97" ht="21" customHeight="1" x14ac:dyDescent="0.25"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</row>
    <row r="90" spans="1:97" ht="21" customHeight="1" x14ac:dyDescent="0.25"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</row>
    <row r="91" spans="1:97" ht="21" customHeight="1" x14ac:dyDescent="0.25"/>
    <row r="92" spans="1:97" ht="21" customHeight="1" x14ac:dyDescent="0.25"/>
  </sheetData>
  <mergeCells count="36">
    <mergeCell ref="A2:O2"/>
    <mergeCell ref="J60:M60"/>
    <mergeCell ref="A39:F39"/>
    <mergeCell ref="CT7:CV7"/>
    <mergeCell ref="AX37:BE37"/>
    <mergeCell ref="AX36:BE36"/>
    <mergeCell ref="BU34:CF34"/>
    <mergeCell ref="R8:V8"/>
    <mergeCell ref="AB8:AI8"/>
    <mergeCell ref="BM8:BR8"/>
    <mergeCell ref="CA8:CF8"/>
    <mergeCell ref="AZ8:BK8"/>
    <mergeCell ref="AK8:AV8"/>
    <mergeCell ref="AW8:AY8"/>
    <mergeCell ref="N8:Q8"/>
    <mergeCell ref="N34:Q36"/>
    <mergeCell ref="A4:O4"/>
    <mergeCell ref="G5:I5"/>
    <mergeCell ref="N5:O5"/>
    <mergeCell ref="A5:F5"/>
    <mergeCell ref="A7:B7"/>
    <mergeCell ref="J5:L5"/>
    <mergeCell ref="BU8:BZ8"/>
    <mergeCell ref="BU39:BZ39"/>
    <mergeCell ref="AD55:AD57"/>
    <mergeCell ref="A53:E53"/>
    <mergeCell ref="P53:S53"/>
    <mergeCell ref="V53:Y53"/>
    <mergeCell ref="AA53:AC53"/>
    <mergeCell ref="F54:H58"/>
    <mergeCell ref="M53:N53"/>
    <mergeCell ref="A34:C34"/>
    <mergeCell ref="A35:C35"/>
    <mergeCell ref="A36:C36"/>
    <mergeCell ref="D8:M8"/>
    <mergeCell ref="B8:C8"/>
  </mergeCells>
  <conditionalFormatting sqref="A35 C40:G40 I40:P40">
    <cfRule type="expression" dxfId="30" priority="13">
      <formula>AND(A35&lt;24,A35&lt;&gt;"")</formula>
    </cfRule>
  </conditionalFormatting>
  <conditionalFormatting sqref="CA41:CA64 CB41:CD41 CC42:CC6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{FCAC4D68-E93A-41FA-9D6B-BCA0CC42D35C}</x14:id>
        </ext>
      </extLst>
    </cfRule>
  </conditionalFormatting>
  <conditionalFormatting sqref="CB41:CD41 CA41:CA64 CC42:CC64">
    <cfRule type="cellIs" dxfId="29" priority="4" operator="equal">
      <formula>"FORA"</formula>
    </cfRule>
    <cfRule type="cellIs" dxfId="28" priority="5" operator="equal">
      <formula>"ok"</formula>
    </cfRule>
  </conditionalFormatting>
  <conditionalFormatting sqref="CE41:CE64">
    <cfRule type="cellIs" dxfId="27" priority="7" operator="equal">
      <formula>"FORA"</formula>
    </cfRule>
    <cfRule type="cellIs" dxfId="26" priority="8" operator="equal">
      <formula>"ok"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{84D40327-943C-435C-A9CA-DB6955A9F1E5}</x14:id>
        </ext>
      </extLst>
    </cfRule>
  </conditionalFormatting>
  <conditionalFormatting sqref="CE10:CF33">
    <cfRule type="cellIs" dxfId="25" priority="10" operator="equal">
      <formula>"FORA"</formula>
    </cfRule>
    <cfRule type="cellIs" dxfId="24" priority="11" operator="equal">
      <formula>"ok"</formula>
    </cfRule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{98BA98FD-C207-4C42-8855-36CFE263BA55}</x14:id>
        </ext>
      </extLst>
    </cfRule>
  </conditionalFormatting>
  <dataValidations disablePrompts="1" count="1">
    <dataValidation type="list" allowBlank="1" sqref="CS10:CS33" xr:uid="{FBAD527C-AC2A-4F4E-BA62-47755707D3A5}">
      <formula1>"OK,Alarme,Em investigação"</formula1>
    </dataValidation>
  </dataValidations>
  <hyperlinks>
    <hyperlink ref="D7" r:id="rId1" xr:uid="{7997AA1D-6370-43CD-9C33-132E8374E462}"/>
  </hyperlinks>
  <pageMargins left="0.25" right="0.25" top="0.75" bottom="0.75" header="0.3" footer="0.3"/>
  <pageSetup paperSize="8" scale="69" fitToHeight="0" orientation="landscape" r:id="rId2"/>
  <headerFooter>
    <oddHeader>&amp;C&amp;P de &amp;N</oddHeader>
  </headerFooter>
  <colBreaks count="4" manualBreakCount="4">
    <brk id="17" max="78" man="1"/>
    <brk id="35" max="78" man="1"/>
    <brk id="48" max="78" man="1"/>
    <brk id="64" max="78" man="1"/>
  </colBreaks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CAC4D68-E93A-41FA-9D6B-BCA0CC42D3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CA41:CA64 CB41:CD41 CC42:CC64</xm:sqref>
        </x14:conditionalFormatting>
        <x14:conditionalFormatting xmlns:xm="http://schemas.microsoft.com/office/excel/2006/main">
          <x14:cfRule type="dataBar" id="{84D40327-943C-435C-A9CA-DB6955A9F1E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CE41:CE64</xm:sqref>
        </x14:conditionalFormatting>
        <x14:conditionalFormatting xmlns:xm="http://schemas.microsoft.com/office/excel/2006/main">
          <x14:cfRule type="dataBar" id="{98BA98FD-C207-4C42-8855-36CFE263BA5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CE10:CF33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498CB-7078-4F13-8477-37E241A14848}">
  <sheetPr codeName="Sheet17">
    <tabColor theme="2" tint="-0.249977111117893"/>
  </sheetPr>
  <dimension ref="A1:O38"/>
  <sheetViews>
    <sheetView showGridLines="0" zoomScale="90" zoomScaleNormal="90" workbookViewId="0">
      <selection activeCell="J34" sqref="J34"/>
    </sheetView>
  </sheetViews>
  <sheetFormatPr defaultColWidth="10.7109375" defaultRowHeight="15" x14ac:dyDescent="0.25"/>
  <cols>
    <col min="1" max="1" width="13.42578125" customWidth="1"/>
    <col min="5" max="5" width="15.42578125" customWidth="1"/>
  </cols>
  <sheetData>
    <row r="1" spans="1:15" ht="15.75" thickBot="1" x14ac:dyDescent="0.3">
      <c r="B1" s="897" t="s">
        <v>720</v>
      </c>
      <c r="C1" s="898"/>
      <c r="D1" s="898"/>
      <c r="E1" s="880"/>
      <c r="F1" s="880"/>
      <c r="G1" s="880"/>
      <c r="H1" s="880"/>
      <c r="I1" s="880"/>
      <c r="J1" s="880"/>
      <c r="K1" s="880"/>
      <c r="L1" s="880"/>
      <c r="M1" s="880"/>
      <c r="N1" s="880"/>
      <c r="O1" s="880"/>
    </row>
    <row r="2" spans="1:15" ht="31.5" x14ac:dyDescent="0.25">
      <c r="A2" s="891" t="s">
        <v>618</v>
      </c>
      <c r="B2" s="891" t="s">
        <v>619</v>
      </c>
      <c r="C2" s="619" t="s">
        <v>620</v>
      </c>
      <c r="D2" s="619" t="s">
        <v>621</v>
      </c>
      <c r="E2" s="619" t="s">
        <v>622</v>
      </c>
      <c r="F2" s="619" t="s">
        <v>623</v>
      </c>
      <c r="G2" s="619" t="s">
        <v>624</v>
      </c>
      <c r="H2" s="619" t="s">
        <v>625</v>
      </c>
      <c r="I2" s="619" t="s">
        <v>626</v>
      </c>
      <c r="J2" s="619" t="s">
        <v>627</v>
      </c>
      <c r="K2" s="619" t="s">
        <v>628</v>
      </c>
      <c r="L2" s="619" t="s">
        <v>629</v>
      </c>
      <c r="M2" s="619" t="s">
        <v>398</v>
      </c>
      <c r="N2" s="620" t="s">
        <v>630</v>
      </c>
      <c r="O2" s="621" t="s">
        <v>631</v>
      </c>
    </row>
    <row r="3" spans="1:15" ht="15" customHeight="1" x14ac:dyDescent="0.25">
      <c r="A3" s="892"/>
      <c r="B3" s="892"/>
      <c r="C3" s="616">
        <f>AVERAGE(C4:C27)</f>
        <v>8442.1590416666677</v>
      </c>
      <c r="D3" s="616">
        <f t="shared" ref="D3:F3" si="0">AVERAGE(D4:D27)</f>
        <v>80.942771666666673</v>
      </c>
      <c r="E3" s="616">
        <f>AVERAGE(E4:E27)</f>
        <v>62.915833333333353</v>
      </c>
      <c r="F3" s="616">
        <f t="shared" si="0"/>
        <v>863.09999999999991</v>
      </c>
      <c r="G3" s="616">
        <f>AVERAGE(G4:G27)</f>
        <v>838.74958333333325</v>
      </c>
      <c r="H3" s="616">
        <f>SUM(H4:H27)</f>
        <v>7711.1680000000006</v>
      </c>
      <c r="I3" s="616">
        <f>SUM(I4:I27)</f>
        <v>7703.5769999999993</v>
      </c>
      <c r="J3" s="616">
        <f t="shared" ref="J3:L3" si="1">SUM(J4:J27)</f>
        <v>7486.3119999999999</v>
      </c>
      <c r="K3" s="616">
        <f t="shared" si="1"/>
        <v>6461.4359999999997</v>
      </c>
      <c r="L3" s="616">
        <f t="shared" si="1"/>
        <v>7486.3119999999999</v>
      </c>
      <c r="M3" s="616">
        <v>0</v>
      </c>
      <c r="N3" s="616">
        <f>AVERAGE(N4:N27)</f>
        <v>1.0077360320833335</v>
      </c>
      <c r="O3" s="616">
        <f>AVERAGE(O4:O27)</f>
        <v>0.96433679416666696</v>
      </c>
    </row>
    <row r="4" spans="1:15" x14ac:dyDescent="0.25">
      <c r="A4" s="592">
        <v>46108</v>
      </c>
      <c r="B4" s="617">
        <v>12</v>
      </c>
      <c r="C4" s="617">
        <v>8433.5</v>
      </c>
      <c r="D4" s="617">
        <v>0.84334999999999993</v>
      </c>
      <c r="E4" s="617">
        <v>62.82</v>
      </c>
      <c r="F4" s="617">
        <v>863.1</v>
      </c>
      <c r="G4" s="617">
        <v>838.8</v>
      </c>
      <c r="H4" s="617">
        <v>322.09100000000001</v>
      </c>
      <c r="I4" s="617">
        <v>321.77199999999999</v>
      </c>
      <c r="J4" s="617">
        <v>312.71699999999998</v>
      </c>
      <c r="K4" s="617">
        <v>269.90699999999998</v>
      </c>
      <c r="L4" s="617">
        <v>312.71699999999998</v>
      </c>
      <c r="M4" s="617">
        <v>0</v>
      </c>
      <c r="N4" s="617">
        <v>1.00772386</v>
      </c>
      <c r="O4" s="617">
        <v>0.96441427999999996</v>
      </c>
    </row>
    <row r="5" spans="1:15" x14ac:dyDescent="0.25">
      <c r="A5" s="592">
        <v>46108</v>
      </c>
      <c r="B5" s="617">
        <v>13</v>
      </c>
      <c r="C5" s="617">
        <v>8433.384</v>
      </c>
      <c r="D5" s="617">
        <v>84.333839999999995</v>
      </c>
      <c r="E5" s="617">
        <v>62.85</v>
      </c>
      <c r="F5" s="617">
        <v>863.1</v>
      </c>
      <c r="G5" s="617">
        <v>838.8</v>
      </c>
      <c r="H5" s="617">
        <v>322.26</v>
      </c>
      <c r="I5" s="617">
        <v>321.94099999999997</v>
      </c>
      <c r="J5" s="617">
        <v>312.87599999999998</v>
      </c>
      <c r="K5" s="617">
        <v>270.04199999999997</v>
      </c>
      <c r="L5" s="617">
        <v>312.87599999999998</v>
      </c>
      <c r="M5" s="617">
        <v>0</v>
      </c>
      <c r="N5" s="617">
        <v>1.0077249399999999</v>
      </c>
      <c r="O5" s="617">
        <v>0.96439176000000004</v>
      </c>
    </row>
    <row r="6" spans="1:15" x14ac:dyDescent="0.25">
      <c r="A6" s="592">
        <v>46108</v>
      </c>
      <c r="B6" s="617">
        <v>14</v>
      </c>
      <c r="C6" s="617">
        <v>8433.1200000000008</v>
      </c>
      <c r="D6" s="617">
        <v>84.33120000000001</v>
      </c>
      <c r="E6" s="617">
        <v>62.89</v>
      </c>
      <c r="F6" s="617">
        <v>863.1</v>
      </c>
      <c r="G6" s="617">
        <v>838.8</v>
      </c>
      <c r="H6" s="617">
        <v>321.84199999999998</v>
      </c>
      <c r="I6" s="617">
        <v>321.52300000000002</v>
      </c>
      <c r="J6" s="617">
        <v>312.459</v>
      </c>
      <c r="K6" s="617">
        <v>269.68400000000003</v>
      </c>
      <c r="L6" s="617">
        <v>312.459</v>
      </c>
      <c r="M6" s="617">
        <v>0</v>
      </c>
      <c r="N6" s="617">
        <v>1.00772653</v>
      </c>
      <c r="O6" s="617">
        <v>0.96435778999999999</v>
      </c>
    </row>
    <row r="7" spans="1:15" x14ac:dyDescent="0.25">
      <c r="A7" s="592">
        <v>46108</v>
      </c>
      <c r="B7" s="617">
        <v>15</v>
      </c>
      <c r="C7" s="617">
        <v>8434.5030000000006</v>
      </c>
      <c r="D7" s="617">
        <v>84.345030000000008</v>
      </c>
      <c r="E7" s="617">
        <v>62.94</v>
      </c>
      <c r="F7" s="617">
        <v>863.1</v>
      </c>
      <c r="G7" s="617">
        <v>838.7</v>
      </c>
      <c r="H7" s="617">
        <v>321.18700000000001</v>
      </c>
      <c r="I7" s="617">
        <v>320.87099999999998</v>
      </c>
      <c r="J7" s="617">
        <v>311.81299999999999</v>
      </c>
      <c r="K7" s="617">
        <v>269.12599999999998</v>
      </c>
      <c r="L7" s="617">
        <v>311.81299999999999</v>
      </c>
      <c r="M7" s="617">
        <v>0</v>
      </c>
      <c r="N7" s="617">
        <v>1.0077300899999999</v>
      </c>
      <c r="O7" s="617">
        <v>0.96431538999999999</v>
      </c>
    </row>
    <row r="8" spans="1:15" x14ac:dyDescent="0.25">
      <c r="A8" s="592">
        <v>46108</v>
      </c>
      <c r="B8" s="617">
        <v>16</v>
      </c>
      <c r="C8" s="617">
        <v>8434.5049999999992</v>
      </c>
      <c r="D8" s="617">
        <v>84.345049999999986</v>
      </c>
      <c r="E8" s="617">
        <v>62.97</v>
      </c>
      <c r="F8" s="617">
        <v>863.1</v>
      </c>
      <c r="G8" s="617">
        <v>838.7</v>
      </c>
      <c r="H8" s="617">
        <v>320.803</v>
      </c>
      <c r="I8" s="617">
        <v>320.488</v>
      </c>
      <c r="J8" s="617">
        <v>311.43299999999999</v>
      </c>
      <c r="K8" s="617">
        <v>268.79700000000003</v>
      </c>
      <c r="L8" s="617">
        <v>311.43299999999999</v>
      </c>
      <c r="M8" s="617">
        <v>0</v>
      </c>
      <c r="N8" s="617">
        <v>1.0077315099999999</v>
      </c>
      <c r="O8" s="617">
        <v>0.96428959999999997</v>
      </c>
    </row>
    <row r="9" spans="1:15" x14ac:dyDescent="0.25">
      <c r="A9" s="592">
        <v>46108</v>
      </c>
      <c r="B9" s="617">
        <v>17</v>
      </c>
      <c r="C9" s="617">
        <v>8433.9140000000007</v>
      </c>
      <c r="D9" s="617">
        <v>84.33914</v>
      </c>
      <c r="E9" s="617">
        <v>62.94</v>
      </c>
      <c r="F9" s="617">
        <v>863.1</v>
      </c>
      <c r="G9" s="617">
        <v>838.7</v>
      </c>
      <c r="H9" s="617">
        <v>322.86500000000001</v>
      </c>
      <c r="I9" s="617">
        <v>322.54500000000002</v>
      </c>
      <c r="J9" s="617">
        <v>313.44</v>
      </c>
      <c r="K9" s="617">
        <v>270.53100000000001</v>
      </c>
      <c r="L9" s="617">
        <v>313.44</v>
      </c>
      <c r="M9" s="617">
        <v>0</v>
      </c>
      <c r="N9" s="617">
        <v>1.0077293000000001</v>
      </c>
      <c r="O9" s="617">
        <v>0.96432048000000004</v>
      </c>
    </row>
    <row r="10" spans="1:15" x14ac:dyDescent="0.25">
      <c r="A10" s="592">
        <v>46108</v>
      </c>
      <c r="B10" s="617">
        <v>18</v>
      </c>
      <c r="C10" s="617">
        <v>8434.9470000000001</v>
      </c>
      <c r="D10" s="617">
        <v>84.349469999999997</v>
      </c>
      <c r="E10" s="617">
        <v>62.93</v>
      </c>
      <c r="F10" s="617">
        <v>863.1</v>
      </c>
      <c r="G10" s="617">
        <v>838.7</v>
      </c>
      <c r="H10" s="617">
        <v>320.69400000000002</v>
      </c>
      <c r="I10" s="617">
        <v>320.37900000000002</v>
      </c>
      <c r="J10" s="617">
        <v>311.33800000000002</v>
      </c>
      <c r="K10" s="617">
        <v>268.71600000000001</v>
      </c>
      <c r="L10" s="617">
        <v>311.33800000000002</v>
      </c>
      <c r="M10" s="617">
        <v>0</v>
      </c>
      <c r="N10" s="617">
        <v>1.00772997</v>
      </c>
      <c r="O10" s="617">
        <v>0.96432545000000003</v>
      </c>
    </row>
    <row r="11" spans="1:15" x14ac:dyDescent="0.25">
      <c r="A11" s="592">
        <v>46108</v>
      </c>
      <c r="B11" s="617">
        <v>19</v>
      </c>
      <c r="C11" s="617">
        <v>8434.58</v>
      </c>
      <c r="D11" s="617">
        <v>84.345799999999997</v>
      </c>
      <c r="E11" s="617">
        <v>62.93</v>
      </c>
      <c r="F11" s="617">
        <v>863.1</v>
      </c>
      <c r="G11" s="617">
        <v>838.7</v>
      </c>
      <c r="H11" s="617">
        <v>322.31799999999998</v>
      </c>
      <c r="I11" s="617">
        <v>322</v>
      </c>
      <c r="J11" s="617">
        <v>312.91399999999999</v>
      </c>
      <c r="K11" s="617">
        <v>270.07499999999999</v>
      </c>
      <c r="L11" s="617">
        <v>312.91399999999999</v>
      </c>
      <c r="M11" s="617">
        <v>0</v>
      </c>
      <c r="N11" s="617">
        <v>1.00772941</v>
      </c>
      <c r="O11" s="617">
        <v>0.96432952000000005</v>
      </c>
    </row>
    <row r="12" spans="1:15" x14ac:dyDescent="0.25">
      <c r="A12" s="592">
        <v>46108</v>
      </c>
      <c r="B12" s="617">
        <v>20</v>
      </c>
      <c r="C12" s="617">
        <v>8667.0400000000009</v>
      </c>
      <c r="D12" s="617">
        <v>86.670400000000015</v>
      </c>
      <c r="E12" s="617">
        <v>63.06</v>
      </c>
      <c r="F12" s="617">
        <v>863.1</v>
      </c>
      <c r="G12" s="617">
        <v>838.8</v>
      </c>
      <c r="H12" s="617">
        <v>320.53899999999999</v>
      </c>
      <c r="I12" s="617">
        <v>320.22800000000001</v>
      </c>
      <c r="J12" s="617">
        <v>311.22300000000001</v>
      </c>
      <c r="K12" s="617">
        <v>268.61799999999999</v>
      </c>
      <c r="L12" s="617">
        <v>311.22300000000001</v>
      </c>
      <c r="M12" s="617">
        <v>0</v>
      </c>
      <c r="N12" s="617">
        <v>1.00795061</v>
      </c>
      <c r="O12" s="617">
        <v>0.96421498000000005</v>
      </c>
    </row>
    <row r="13" spans="1:15" x14ac:dyDescent="0.25">
      <c r="A13" s="592">
        <v>46108</v>
      </c>
      <c r="B13" s="617">
        <v>21</v>
      </c>
      <c r="C13" s="617">
        <v>8418.4470000000001</v>
      </c>
      <c r="D13" s="617">
        <v>84.184470000000005</v>
      </c>
      <c r="E13" s="617">
        <v>62.92</v>
      </c>
      <c r="F13" s="617">
        <v>863.1</v>
      </c>
      <c r="G13" s="617">
        <v>838.7</v>
      </c>
      <c r="H13" s="617">
        <v>320.291</v>
      </c>
      <c r="I13" s="617">
        <v>319.97800000000001</v>
      </c>
      <c r="J13" s="617">
        <v>310.947</v>
      </c>
      <c r="K13" s="617">
        <v>268.37799999999999</v>
      </c>
      <c r="L13" s="617">
        <v>310.947</v>
      </c>
      <c r="M13" s="617">
        <v>0</v>
      </c>
      <c r="N13" s="617">
        <v>1.00771426</v>
      </c>
      <c r="O13" s="617">
        <v>0.96433440999999998</v>
      </c>
    </row>
    <row r="14" spans="1:15" x14ac:dyDescent="0.25">
      <c r="A14" s="592">
        <v>46108</v>
      </c>
      <c r="B14" s="617">
        <v>22</v>
      </c>
      <c r="C14" s="617">
        <v>8434.11</v>
      </c>
      <c r="D14" s="617">
        <v>84.341100000000012</v>
      </c>
      <c r="E14" s="617">
        <v>62.84</v>
      </c>
      <c r="F14" s="617">
        <v>863.1</v>
      </c>
      <c r="G14" s="617">
        <v>838.8</v>
      </c>
      <c r="H14" s="617">
        <v>321.983</v>
      </c>
      <c r="I14" s="617">
        <v>321.66500000000002</v>
      </c>
      <c r="J14" s="617">
        <v>312.61</v>
      </c>
      <c r="K14" s="617">
        <v>269.81299999999999</v>
      </c>
      <c r="L14" s="617">
        <v>312.61</v>
      </c>
      <c r="M14" s="617">
        <v>0</v>
      </c>
      <c r="N14" s="617">
        <v>1.0077251700000001</v>
      </c>
      <c r="O14" s="617">
        <v>0.96439982999999996</v>
      </c>
    </row>
    <row r="15" spans="1:15" x14ac:dyDescent="0.25">
      <c r="A15" s="592">
        <v>46108</v>
      </c>
      <c r="B15" s="617">
        <v>23</v>
      </c>
      <c r="C15" s="617">
        <v>8431.01</v>
      </c>
      <c r="D15" s="617">
        <v>84.310100000000006</v>
      </c>
      <c r="E15" s="617">
        <v>62.85</v>
      </c>
      <c r="F15" s="617">
        <v>863.1</v>
      </c>
      <c r="G15" s="617">
        <v>838.8</v>
      </c>
      <c r="H15" s="617">
        <v>322.31299999999999</v>
      </c>
      <c r="I15" s="617">
        <v>321.99400000000003</v>
      </c>
      <c r="J15" s="617">
        <v>312.92700000000002</v>
      </c>
      <c r="K15" s="617">
        <v>270.08800000000002</v>
      </c>
      <c r="L15" s="617">
        <v>312.92700000000002</v>
      </c>
      <c r="M15" s="617">
        <v>0</v>
      </c>
      <c r="N15" s="617">
        <v>1.0077226500000001</v>
      </c>
      <c r="O15" s="617">
        <v>0.96439357999999997</v>
      </c>
    </row>
    <row r="16" spans="1:15" x14ac:dyDescent="0.25">
      <c r="A16" s="592">
        <v>46108</v>
      </c>
      <c r="B16" s="617">
        <v>24</v>
      </c>
      <c r="C16" s="617">
        <v>8430.8799999999992</v>
      </c>
      <c r="D16" s="617">
        <v>84.308799999999991</v>
      </c>
      <c r="E16" s="617">
        <v>62.87</v>
      </c>
      <c r="F16" s="617">
        <v>863.1</v>
      </c>
      <c r="G16" s="617">
        <v>838.8</v>
      </c>
      <c r="H16" s="617">
        <v>321.58499999999998</v>
      </c>
      <c r="I16" s="617">
        <v>321.26900000000001</v>
      </c>
      <c r="J16" s="617">
        <v>312.21800000000002</v>
      </c>
      <c r="K16" s="617">
        <v>269.47500000000002</v>
      </c>
      <c r="L16" s="617">
        <v>312.21800000000002</v>
      </c>
      <c r="M16" s="617">
        <v>0</v>
      </c>
      <c r="N16" s="617">
        <v>1.00772347</v>
      </c>
      <c r="O16" s="617">
        <v>0.96437598999999996</v>
      </c>
    </row>
    <row r="17" spans="1:15" x14ac:dyDescent="0.25">
      <c r="A17" s="592">
        <v>46109</v>
      </c>
      <c r="B17" s="617">
        <v>1</v>
      </c>
      <c r="C17" s="617">
        <v>8432.2739999999994</v>
      </c>
      <c r="D17" s="617">
        <v>84.322739999999996</v>
      </c>
      <c r="E17" s="617">
        <v>62.88</v>
      </c>
      <c r="F17" s="617">
        <v>863.1</v>
      </c>
      <c r="G17" s="617">
        <v>838.78</v>
      </c>
      <c r="H17" s="617">
        <v>320.98</v>
      </c>
      <c r="I17" s="617">
        <v>320.66500000000002</v>
      </c>
      <c r="J17" s="617">
        <v>311.62700000000001</v>
      </c>
      <c r="K17" s="617">
        <v>268.96499999999997</v>
      </c>
      <c r="L17" s="617">
        <v>311.62700000000001</v>
      </c>
      <c r="M17" s="617">
        <v>0</v>
      </c>
      <c r="N17" s="617">
        <v>1.007725</v>
      </c>
      <c r="O17" s="617">
        <v>0.964368</v>
      </c>
    </row>
    <row r="18" spans="1:15" x14ac:dyDescent="0.25">
      <c r="A18" s="592">
        <v>46109</v>
      </c>
      <c r="B18" s="617">
        <v>2</v>
      </c>
      <c r="C18" s="617">
        <v>8432.5810000000001</v>
      </c>
      <c r="D18" s="617">
        <v>84.325810000000004</v>
      </c>
      <c r="E18" s="617">
        <v>62.87</v>
      </c>
      <c r="F18" s="617">
        <v>863.1</v>
      </c>
      <c r="G18" s="617">
        <v>838.78</v>
      </c>
      <c r="H18" s="617">
        <v>320.94400000000002</v>
      </c>
      <c r="I18" s="617">
        <v>320.62799999999999</v>
      </c>
      <c r="J18" s="617">
        <v>311.59399999999999</v>
      </c>
      <c r="K18" s="617">
        <v>268.93700000000001</v>
      </c>
      <c r="L18" s="617">
        <v>311.59399999999999</v>
      </c>
      <c r="M18" s="617">
        <v>0</v>
      </c>
      <c r="N18" s="617">
        <v>1.007725</v>
      </c>
      <c r="O18" s="617">
        <v>0.96437300000000004</v>
      </c>
    </row>
    <row r="19" spans="1:15" x14ac:dyDescent="0.25">
      <c r="A19" s="592">
        <v>46109</v>
      </c>
      <c r="B19" s="617">
        <v>3</v>
      </c>
      <c r="C19" s="617">
        <v>8431.2870000000003</v>
      </c>
      <c r="D19" s="617">
        <v>84.312870000000004</v>
      </c>
      <c r="E19" s="617">
        <v>62.89</v>
      </c>
      <c r="F19" s="617">
        <v>863.1</v>
      </c>
      <c r="G19" s="617">
        <v>838.77</v>
      </c>
      <c r="H19" s="617">
        <v>321.11399999999998</v>
      </c>
      <c r="I19" s="617">
        <v>320.798</v>
      </c>
      <c r="J19" s="617">
        <v>311.75299999999999</v>
      </c>
      <c r="K19" s="617">
        <v>269.07400000000001</v>
      </c>
      <c r="L19" s="617">
        <v>311.75299999999999</v>
      </c>
      <c r="M19" s="617">
        <v>0</v>
      </c>
      <c r="N19" s="617">
        <v>1.007725</v>
      </c>
      <c r="O19" s="617">
        <v>0.96435599999999999</v>
      </c>
    </row>
    <row r="20" spans="1:15" x14ac:dyDescent="0.25">
      <c r="A20" s="592">
        <v>46109</v>
      </c>
      <c r="B20" s="617">
        <v>4</v>
      </c>
      <c r="C20" s="617">
        <v>8432.893</v>
      </c>
      <c r="D20" s="617">
        <v>84.32893</v>
      </c>
      <c r="E20" s="617">
        <v>62.91</v>
      </c>
      <c r="F20" s="617">
        <v>863.1</v>
      </c>
      <c r="G20" s="617">
        <v>838.75</v>
      </c>
      <c r="H20" s="617">
        <v>321.24700000000001</v>
      </c>
      <c r="I20" s="617">
        <v>320.93099999999998</v>
      </c>
      <c r="J20" s="617">
        <v>311.87799999999999</v>
      </c>
      <c r="K20" s="617">
        <v>269.18099999999998</v>
      </c>
      <c r="L20" s="617">
        <v>311.87799999999999</v>
      </c>
      <c r="M20" s="617">
        <v>0</v>
      </c>
      <c r="N20" s="617">
        <v>1.007727</v>
      </c>
      <c r="O20" s="617">
        <v>0.96433800000000003</v>
      </c>
    </row>
    <row r="21" spans="1:15" x14ac:dyDescent="0.25">
      <c r="A21" s="592">
        <v>46109</v>
      </c>
      <c r="B21" s="617">
        <v>5</v>
      </c>
      <c r="C21" s="617">
        <v>8431.9580000000005</v>
      </c>
      <c r="D21" s="617">
        <v>84.319580000000002</v>
      </c>
      <c r="E21" s="617">
        <v>62.94</v>
      </c>
      <c r="F21" s="617">
        <v>863.1</v>
      </c>
      <c r="G21" s="617">
        <v>838.74</v>
      </c>
      <c r="H21" s="617">
        <v>321.2</v>
      </c>
      <c r="I21" s="617">
        <v>320.88299999999998</v>
      </c>
      <c r="J21" s="617">
        <v>311.82400000000001</v>
      </c>
      <c r="K21" s="617">
        <v>269.13600000000002</v>
      </c>
      <c r="L21" s="617">
        <v>311.82400000000001</v>
      </c>
      <c r="M21" s="617">
        <v>0</v>
      </c>
      <c r="N21" s="617">
        <v>1.007728</v>
      </c>
      <c r="O21" s="617">
        <v>0.96431999999999995</v>
      </c>
    </row>
    <row r="22" spans="1:15" x14ac:dyDescent="0.25">
      <c r="A22" s="592">
        <v>46109</v>
      </c>
      <c r="B22" s="617">
        <v>6</v>
      </c>
      <c r="C22" s="617">
        <v>8432.4959999999992</v>
      </c>
      <c r="D22" s="617">
        <v>84.32495999999999</v>
      </c>
      <c r="E22" s="617">
        <v>62.95</v>
      </c>
      <c r="F22" s="617">
        <v>863.1</v>
      </c>
      <c r="G22" s="617">
        <v>838.73</v>
      </c>
      <c r="H22" s="617">
        <v>320.88600000000002</v>
      </c>
      <c r="I22" s="617">
        <v>320.57</v>
      </c>
      <c r="J22" s="617">
        <v>311.51900000000001</v>
      </c>
      <c r="K22" s="617">
        <v>268.87200000000001</v>
      </c>
      <c r="L22" s="617">
        <v>311.51900000000001</v>
      </c>
      <c r="M22" s="617">
        <v>0</v>
      </c>
      <c r="N22" s="617">
        <v>1.0077290000000001</v>
      </c>
      <c r="O22" s="617">
        <v>0.96431</v>
      </c>
    </row>
    <row r="23" spans="1:15" x14ac:dyDescent="0.25">
      <c r="A23" s="592">
        <v>46109</v>
      </c>
      <c r="B23" s="617">
        <v>7</v>
      </c>
      <c r="C23" s="617">
        <v>8432.34</v>
      </c>
      <c r="D23" s="617">
        <v>84.323400000000007</v>
      </c>
      <c r="E23" s="617">
        <v>62.94</v>
      </c>
      <c r="F23" s="617">
        <v>863.1</v>
      </c>
      <c r="G23" s="617">
        <v>838.73</v>
      </c>
      <c r="H23" s="617">
        <v>320.64</v>
      </c>
      <c r="I23" s="617">
        <v>320.32600000000002</v>
      </c>
      <c r="J23" s="617">
        <v>311.28100000000001</v>
      </c>
      <c r="K23" s="617">
        <v>268.66699999999997</v>
      </c>
      <c r="L23" s="617">
        <v>311.28100000000001</v>
      </c>
      <c r="M23" s="617">
        <v>0</v>
      </c>
      <c r="N23" s="617">
        <v>1.007728</v>
      </c>
      <c r="O23" s="617">
        <v>0.96431299999999998</v>
      </c>
    </row>
    <row r="24" spans="1:15" x14ac:dyDescent="0.25">
      <c r="A24" s="592">
        <v>46109</v>
      </c>
      <c r="B24" s="617">
        <v>8</v>
      </c>
      <c r="C24" s="617">
        <v>8432.2459999999992</v>
      </c>
      <c r="D24" s="617">
        <v>84.322459999999992</v>
      </c>
      <c r="E24" s="617">
        <v>62.94</v>
      </c>
      <c r="F24" s="617">
        <v>863.1</v>
      </c>
      <c r="G24" s="617">
        <v>838.73</v>
      </c>
      <c r="H24" s="617">
        <v>320.78699999999998</v>
      </c>
      <c r="I24" s="617">
        <v>320.471</v>
      </c>
      <c r="J24" s="617">
        <v>311.423</v>
      </c>
      <c r="K24" s="617">
        <v>268.78899999999999</v>
      </c>
      <c r="L24" s="617">
        <v>311.423</v>
      </c>
      <c r="M24" s="617">
        <v>0</v>
      </c>
      <c r="N24" s="617">
        <v>1.007728</v>
      </c>
      <c r="O24" s="617">
        <v>0.964314</v>
      </c>
    </row>
    <row r="25" spans="1:15" x14ac:dyDescent="0.25">
      <c r="A25" s="592">
        <v>46109</v>
      </c>
      <c r="B25" s="617">
        <v>9</v>
      </c>
      <c r="C25" s="617">
        <v>8433.4159999999993</v>
      </c>
      <c r="D25" s="617">
        <v>84.334159999999997</v>
      </c>
      <c r="E25" s="617">
        <v>62.96</v>
      </c>
      <c r="F25" s="617">
        <v>863.1</v>
      </c>
      <c r="G25" s="617">
        <v>838.72</v>
      </c>
      <c r="H25" s="617">
        <v>320.63799999999998</v>
      </c>
      <c r="I25" s="617">
        <v>320.32299999999998</v>
      </c>
      <c r="J25" s="617">
        <v>311.27499999999998</v>
      </c>
      <c r="K25" s="617">
        <v>268.66199999999998</v>
      </c>
      <c r="L25" s="617">
        <v>311.27499999999998</v>
      </c>
      <c r="M25" s="617">
        <v>0</v>
      </c>
      <c r="N25" s="617">
        <v>1.00773</v>
      </c>
      <c r="O25" s="617">
        <v>0.96430199999999999</v>
      </c>
    </row>
    <row r="26" spans="1:15" x14ac:dyDescent="0.25">
      <c r="A26" s="592">
        <v>46109</v>
      </c>
      <c r="B26" s="617">
        <v>10</v>
      </c>
      <c r="C26" s="617">
        <v>8433.3410000000003</v>
      </c>
      <c r="D26" s="617">
        <v>84.333410000000001</v>
      </c>
      <c r="E26" s="617">
        <v>62.95</v>
      </c>
      <c r="F26" s="617">
        <v>863.1</v>
      </c>
      <c r="G26" s="617">
        <v>838.73</v>
      </c>
      <c r="H26" s="617">
        <v>320.44</v>
      </c>
      <c r="I26" s="617">
        <v>320.12599999999998</v>
      </c>
      <c r="J26" s="617">
        <v>311.08699999999999</v>
      </c>
      <c r="K26" s="617">
        <v>268.49900000000002</v>
      </c>
      <c r="L26" s="617">
        <v>311.08699999999999</v>
      </c>
      <c r="M26" s="617">
        <v>0</v>
      </c>
      <c r="N26" s="617">
        <v>1.0077290000000001</v>
      </c>
      <c r="O26" s="617">
        <v>0.96430899999999997</v>
      </c>
    </row>
    <row r="27" spans="1:15" x14ac:dyDescent="0.25">
      <c r="A27" s="592">
        <v>46109</v>
      </c>
      <c r="B27" s="617">
        <v>11</v>
      </c>
      <c r="C27" s="617">
        <v>8433.0450000000001</v>
      </c>
      <c r="D27" s="617">
        <v>84.330449999999999</v>
      </c>
      <c r="E27" s="617">
        <v>62.94</v>
      </c>
      <c r="F27" s="617">
        <v>863.1</v>
      </c>
      <c r="G27" s="617">
        <v>838.73</v>
      </c>
      <c r="H27" s="617">
        <v>321.52100000000002</v>
      </c>
      <c r="I27" s="617">
        <v>321.20299999999997</v>
      </c>
      <c r="J27" s="617">
        <v>312.13600000000002</v>
      </c>
      <c r="K27" s="617">
        <v>269.404</v>
      </c>
      <c r="L27" s="617">
        <v>312.13600000000002</v>
      </c>
      <c r="M27" s="617">
        <v>0</v>
      </c>
      <c r="N27" s="617">
        <v>1.0077290000000001</v>
      </c>
      <c r="O27" s="617">
        <v>0.96431699999999998</v>
      </c>
    </row>
    <row r="28" spans="1:15" x14ac:dyDescent="0.25">
      <c r="A28" s="592"/>
      <c r="B28" s="617"/>
    </row>
    <row r="29" spans="1:15" x14ac:dyDescent="0.25">
      <c r="A29" s="592"/>
      <c r="B29" s="617"/>
    </row>
    <row r="30" spans="1:15" x14ac:dyDescent="0.25">
      <c r="A30" s="592"/>
      <c r="B30" s="617"/>
    </row>
    <row r="31" spans="1:15" x14ac:dyDescent="0.25">
      <c r="A31" s="592"/>
      <c r="B31" s="617"/>
    </row>
    <row r="32" spans="1:15" x14ac:dyDescent="0.25">
      <c r="A32" s="592"/>
      <c r="B32" s="617"/>
    </row>
    <row r="33" spans="1:2" x14ac:dyDescent="0.25">
      <c r="A33" s="592"/>
      <c r="B33" s="617"/>
    </row>
    <row r="34" spans="1:2" x14ac:dyDescent="0.25">
      <c r="A34" s="592"/>
      <c r="B34" s="617"/>
    </row>
    <row r="35" spans="1:2" x14ac:dyDescent="0.25">
      <c r="A35" s="592"/>
      <c r="B35" s="617"/>
    </row>
    <row r="36" spans="1:2" x14ac:dyDescent="0.25">
      <c r="A36" s="592"/>
      <c r="B36" s="617"/>
    </row>
    <row r="37" spans="1:2" x14ac:dyDescent="0.25">
      <c r="A37" s="592"/>
      <c r="B37" s="617"/>
    </row>
    <row r="38" spans="1:2" x14ac:dyDescent="0.25">
      <c r="A38" s="592"/>
      <c r="B38" s="618"/>
    </row>
  </sheetData>
  <mergeCells count="3">
    <mergeCell ref="B1:O1"/>
    <mergeCell ref="A2:A3"/>
    <mergeCell ref="B2:B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E26D2-B710-4BB9-9618-471EB321B29B}">
  <sheetPr codeName="Sheet18">
    <tabColor rgb="FFFF0000"/>
  </sheetPr>
  <dimension ref="A1:L28"/>
  <sheetViews>
    <sheetView topLeftCell="A6" workbookViewId="0">
      <selection activeCell="J34" sqref="J34"/>
    </sheetView>
  </sheetViews>
  <sheetFormatPr defaultRowHeight="15" x14ac:dyDescent="0.25"/>
  <cols>
    <col min="1" max="1" width="10.7109375" bestFit="1" customWidth="1"/>
    <col min="2" max="2" width="10.85546875" customWidth="1"/>
    <col min="3" max="3" width="13" customWidth="1"/>
    <col min="4" max="4" width="17" customWidth="1"/>
    <col min="5" max="7" width="10.85546875" customWidth="1"/>
    <col min="8" max="8" width="14" customWidth="1"/>
    <col min="9" max="12" width="10.85546875" customWidth="1"/>
    <col min="16" max="16" width="19.42578125" customWidth="1"/>
  </cols>
  <sheetData>
    <row r="1" spans="1:12" ht="15.75" thickBot="1" x14ac:dyDescent="0.3">
      <c r="B1" s="897" t="s">
        <v>721</v>
      </c>
      <c r="C1" s="880"/>
      <c r="D1" s="880"/>
      <c r="E1" s="899"/>
      <c r="F1" s="880"/>
      <c r="G1" s="880"/>
      <c r="H1" s="880"/>
      <c r="I1" s="880"/>
      <c r="J1" s="880"/>
      <c r="K1" s="880"/>
      <c r="L1" s="880"/>
    </row>
    <row r="2" spans="1:12" ht="47.25" x14ac:dyDescent="0.25">
      <c r="A2" s="893" t="s">
        <v>618</v>
      </c>
      <c r="B2" s="622" t="s">
        <v>503</v>
      </c>
      <c r="C2" s="623" t="s">
        <v>632</v>
      </c>
      <c r="D2" s="623" t="s">
        <v>622</v>
      </c>
      <c r="E2" s="623" t="s">
        <v>623</v>
      </c>
      <c r="F2" s="623" t="s">
        <v>633</v>
      </c>
      <c r="G2" s="623" t="s">
        <v>634</v>
      </c>
      <c r="H2" s="623" t="s">
        <v>635</v>
      </c>
      <c r="I2" s="623" t="s">
        <v>628</v>
      </c>
      <c r="J2" s="624" t="s">
        <v>636</v>
      </c>
      <c r="K2" s="625" t="s">
        <v>637</v>
      </c>
      <c r="L2" s="626" t="s">
        <v>638</v>
      </c>
    </row>
    <row r="3" spans="1:12" x14ac:dyDescent="0.25">
      <c r="A3" s="894"/>
      <c r="B3" s="661">
        <f>COUNT(B4:B27)</f>
        <v>24</v>
      </c>
      <c r="C3" s="627">
        <f>AVERAGE(C4:C27)</f>
        <v>8450.4775833333333</v>
      </c>
      <c r="D3" s="627">
        <f t="shared" ref="D3:E3" si="0">AVERAGE(D4:D27)</f>
        <v>62.635833333333359</v>
      </c>
      <c r="E3" s="627">
        <f>AVERAGE(E4:E27)</f>
        <v>0.82610833333333356</v>
      </c>
      <c r="F3" s="627">
        <f>AVERAGE(F4:F27)</f>
        <v>70.339124999999981</v>
      </c>
      <c r="G3" s="627">
        <f>SUM(G4:G27)</f>
        <v>21660.5</v>
      </c>
      <c r="H3" s="627">
        <f t="shared" ref="H3:I3" si="1">SUM(H4:H27)</f>
        <v>1844027.7000000002</v>
      </c>
      <c r="I3" s="627">
        <f t="shared" si="1"/>
        <v>1523.5213999999999</v>
      </c>
      <c r="J3" s="627">
        <f>AVERAGE(J4:J27)</f>
        <v>3393.6041666666661</v>
      </c>
      <c r="K3" s="627">
        <f>AVERAGE(K4:K27)</f>
        <v>8.6408749999999994</v>
      </c>
      <c r="L3" s="627">
        <f>SUM(L4:L27)</f>
        <v>1440.1</v>
      </c>
    </row>
    <row r="4" spans="1:12" x14ac:dyDescent="0.25">
      <c r="A4" s="592">
        <v>46108</v>
      </c>
      <c r="B4" s="628">
        <v>12</v>
      </c>
      <c r="C4" s="628">
        <v>8442.6380000000008</v>
      </c>
      <c r="D4" s="628">
        <v>62.54</v>
      </c>
      <c r="E4" s="628">
        <v>0.82620000000000005</v>
      </c>
      <c r="F4" s="628">
        <v>70.3</v>
      </c>
      <c r="G4" s="628">
        <v>905.3</v>
      </c>
      <c r="H4" s="628">
        <v>77032.100000000006</v>
      </c>
      <c r="I4" s="628">
        <v>63.6434</v>
      </c>
      <c r="J4" s="628">
        <v>3402.3</v>
      </c>
      <c r="K4" s="628">
        <v>8.6790000000000003</v>
      </c>
      <c r="L4" s="628">
        <v>60</v>
      </c>
    </row>
    <row r="5" spans="1:12" x14ac:dyDescent="0.25">
      <c r="A5" s="592">
        <v>46108</v>
      </c>
      <c r="B5" s="628">
        <v>13</v>
      </c>
      <c r="C5" s="628">
        <v>8442.4519999999993</v>
      </c>
      <c r="D5" s="628">
        <v>62.57</v>
      </c>
      <c r="E5" s="628">
        <v>0.82620000000000005</v>
      </c>
      <c r="F5" s="628">
        <v>70.290000000000006</v>
      </c>
      <c r="G5" s="628">
        <v>904.9</v>
      </c>
      <c r="H5" s="628">
        <v>76984.899999999994</v>
      </c>
      <c r="I5" s="628">
        <v>63.604300000000002</v>
      </c>
      <c r="J5" s="628">
        <v>3400.2</v>
      </c>
      <c r="K5" s="628">
        <v>8.67</v>
      </c>
      <c r="L5" s="628">
        <v>60</v>
      </c>
    </row>
    <row r="6" spans="1:12" x14ac:dyDescent="0.25">
      <c r="A6" s="592">
        <v>46108</v>
      </c>
      <c r="B6" s="628">
        <v>14</v>
      </c>
      <c r="C6" s="628">
        <v>8441.982</v>
      </c>
      <c r="D6" s="628">
        <v>62.61</v>
      </c>
      <c r="E6" s="628">
        <v>0.82620000000000005</v>
      </c>
      <c r="F6" s="628">
        <v>70.27</v>
      </c>
      <c r="G6" s="628">
        <v>904.6</v>
      </c>
      <c r="H6" s="628">
        <v>76943.5</v>
      </c>
      <c r="I6" s="628">
        <v>63.5702</v>
      </c>
      <c r="J6" s="628">
        <v>3398.5</v>
      </c>
      <c r="K6" s="628">
        <v>8.6630000000000003</v>
      </c>
      <c r="L6" s="628">
        <v>60</v>
      </c>
    </row>
    <row r="7" spans="1:12" x14ac:dyDescent="0.25">
      <c r="A7" s="592">
        <v>46108</v>
      </c>
      <c r="B7" s="628">
        <v>15</v>
      </c>
      <c r="C7" s="628">
        <v>8442.9030000000002</v>
      </c>
      <c r="D7" s="628">
        <v>62.67</v>
      </c>
      <c r="E7" s="628">
        <v>0.82620000000000005</v>
      </c>
      <c r="F7" s="628">
        <v>70.260000000000005</v>
      </c>
      <c r="G7" s="628">
        <v>906.2</v>
      </c>
      <c r="H7" s="628">
        <v>77056</v>
      </c>
      <c r="I7" s="628">
        <v>63.662999999999997</v>
      </c>
      <c r="J7" s="628">
        <v>3403.4</v>
      </c>
      <c r="K7" s="628">
        <v>8.69</v>
      </c>
      <c r="L7" s="628">
        <v>60</v>
      </c>
    </row>
    <row r="8" spans="1:12" x14ac:dyDescent="0.25">
      <c r="A8" s="592">
        <v>46108</v>
      </c>
      <c r="B8" s="628">
        <v>16</v>
      </c>
      <c r="C8" s="628">
        <v>8443.2469999999994</v>
      </c>
      <c r="D8" s="628">
        <v>62.7</v>
      </c>
      <c r="E8" s="628">
        <v>0.82620000000000005</v>
      </c>
      <c r="F8" s="628">
        <v>70.25</v>
      </c>
      <c r="G8" s="628">
        <v>905.7</v>
      </c>
      <c r="H8" s="628">
        <v>77015</v>
      </c>
      <c r="I8" s="628">
        <v>63.629199999999997</v>
      </c>
      <c r="J8" s="628">
        <v>3401.5</v>
      </c>
      <c r="K8" s="628">
        <v>8.6809999999999992</v>
      </c>
      <c r="L8" s="628">
        <v>60</v>
      </c>
    </row>
    <row r="9" spans="1:12" x14ac:dyDescent="0.25">
      <c r="A9" s="592">
        <v>46108</v>
      </c>
      <c r="B9" s="628">
        <v>17</v>
      </c>
      <c r="C9" s="628">
        <v>8443.5259999999998</v>
      </c>
      <c r="D9" s="628">
        <v>62.65</v>
      </c>
      <c r="E9" s="628">
        <v>0.82620000000000005</v>
      </c>
      <c r="F9" s="628">
        <v>70.27</v>
      </c>
      <c r="G9" s="628">
        <v>902.4</v>
      </c>
      <c r="H9" s="628">
        <v>76748</v>
      </c>
      <c r="I9" s="628">
        <v>63.4086</v>
      </c>
      <c r="J9" s="628">
        <v>3389.8</v>
      </c>
      <c r="K9" s="628">
        <v>8.6189999999999998</v>
      </c>
      <c r="L9" s="628">
        <v>60</v>
      </c>
    </row>
    <row r="10" spans="1:12" x14ac:dyDescent="0.25">
      <c r="A10" s="592">
        <v>46108</v>
      </c>
      <c r="B10" s="628">
        <v>18</v>
      </c>
      <c r="C10" s="628">
        <v>8443.7929999999997</v>
      </c>
      <c r="D10" s="628">
        <v>62.65</v>
      </c>
      <c r="E10" s="628">
        <v>0.82620000000000005</v>
      </c>
      <c r="F10" s="628">
        <v>70.27</v>
      </c>
      <c r="G10" s="628">
        <v>904.5</v>
      </c>
      <c r="H10" s="628">
        <v>76930.7</v>
      </c>
      <c r="I10" s="628">
        <v>63.559600000000003</v>
      </c>
      <c r="J10" s="628">
        <v>3397.9</v>
      </c>
      <c r="K10" s="628">
        <v>8.66</v>
      </c>
      <c r="L10" s="628">
        <v>60</v>
      </c>
    </row>
    <row r="11" spans="1:12" x14ac:dyDescent="0.25">
      <c r="A11" s="592">
        <v>46108</v>
      </c>
      <c r="B11" s="628">
        <v>19</v>
      </c>
      <c r="C11" s="628">
        <v>8443.83</v>
      </c>
      <c r="D11" s="628">
        <v>62.64</v>
      </c>
      <c r="E11" s="628">
        <v>0.82620000000000005</v>
      </c>
      <c r="F11" s="628">
        <v>70.28</v>
      </c>
      <c r="G11" s="628">
        <v>903.5</v>
      </c>
      <c r="H11" s="628">
        <v>76852.7</v>
      </c>
      <c r="I11" s="628">
        <v>63.495100000000001</v>
      </c>
      <c r="J11" s="628">
        <v>3394.4</v>
      </c>
      <c r="K11" s="628">
        <v>8.6419999999999995</v>
      </c>
      <c r="L11" s="628">
        <v>60</v>
      </c>
    </row>
    <row r="12" spans="1:12" x14ac:dyDescent="0.25">
      <c r="A12" s="592">
        <v>46108</v>
      </c>
      <c r="B12" s="628">
        <v>20</v>
      </c>
      <c r="C12" s="628">
        <v>8666.5509999999995</v>
      </c>
      <c r="D12" s="628">
        <v>62.76</v>
      </c>
      <c r="E12" s="628">
        <v>0.82620000000000005</v>
      </c>
      <c r="F12" s="628">
        <v>72.290000000000006</v>
      </c>
      <c r="G12" s="628">
        <v>878.1</v>
      </c>
      <c r="H12" s="628">
        <v>76827.199999999997</v>
      </c>
      <c r="I12" s="628">
        <v>63.473999999999997</v>
      </c>
      <c r="J12" s="628">
        <v>3393.3</v>
      </c>
      <c r="K12" s="628">
        <v>8.6080000000000005</v>
      </c>
      <c r="L12" s="628">
        <v>60</v>
      </c>
    </row>
    <row r="13" spans="1:12" x14ac:dyDescent="0.25">
      <c r="A13" s="592">
        <v>46108</v>
      </c>
      <c r="B13" s="628">
        <v>21</v>
      </c>
      <c r="C13" s="628">
        <v>8426.2420000000002</v>
      </c>
      <c r="D13" s="628">
        <v>62.57</v>
      </c>
      <c r="E13" s="628">
        <v>0.82620000000000005</v>
      </c>
      <c r="F13" s="628">
        <v>70.14</v>
      </c>
      <c r="G13" s="628">
        <v>907.5</v>
      </c>
      <c r="H13" s="628">
        <v>77040.800000000003</v>
      </c>
      <c r="I13" s="628">
        <v>63.650500000000001</v>
      </c>
      <c r="J13" s="628">
        <v>3402.7</v>
      </c>
      <c r="K13" s="628">
        <v>8.7230000000000008</v>
      </c>
      <c r="L13" s="628">
        <v>60</v>
      </c>
    </row>
    <row r="14" spans="1:12" x14ac:dyDescent="0.25">
      <c r="A14" s="592">
        <v>46108</v>
      </c>
      <c r="B14" s="628">
        <v>22</v>
      </c>
      <c r="C14" s="628">
        <v>8443.3979999999992</v>
      </c>
      <c r="D14" s="628">
        <v>62.6</v>
      </c>
      <c r="E14" s="628">
        <v>0.82620000000000005</v>
      </c>
      <c r="F14" s="628">
        <v>70.28</v>
      </c>
      <c r="G14" s="628">
        <v>902.1</v>
      </c>
      <c r="H14" s="628">
        <v>76744.7</v>
      </c>
      <c r="I14" s="628">
        <v>63.405900000000003</v>
      </c>
      <c r="J14" s="628">
        <v>3389.7</v>
      </c>
      <c r="K14" s="628">
        <v>8.625</v>
      </c>
      <c r="L14" s="628">
        <v>60</v>
      </c>
    </row>
    <row r="15" spans="1:12" x14ac:dyDescent="0.25">
      <c r="A15" s="592">
        <v>46108</v>
      </c>
      <c r="B15" s="628">
        <v>23</v>
      </c>
      <c r="C15" s="628">
        <v>8440.6350000000002</v>
      </c>
      <c r="D15" s="628">
        <v>62.55</v>
      </c>
      <c r="E15" s="628">
        <v>0.82620000000000005</v>
      </c>
      <c r="F15" s="628">
        <v>70.28</v>
      </c>
      <c r="G15" s="628">
        <v>902.7</v>
      </c>
      <c r="H15" s="628">
        <v>76781.600000000006</v>
      </c>
      <c r="I15" s="628">
        <v>63.436399999999999</v>
      </c>
      <c r="J15" s="628">
        <v>3391.2</v>
      </c>
      <c r="K15" s="628">
        <v>8.6259999999999994</v>
      </c>
      <c r="L15" s="628">
        <v>60</v>
      </c>
    </row>
    <row r="16" spans="1:12" x14ac:dyDescent="0.25">
      <c r="A16" s="592">
        <v>46108</v>
      </c>
      <c r="B16" s="628">
        <v>24</v>
      </c>
      <c r="C16" s="628">
        <v>8440.2219999999998</v>
      </c>
      <c r="D16" s="628">
        <v>62.57</v>
      </c>
      <c r="E16" s="628">
        <v>0.82620000000000005</v>
      </c>
      <c r="F16" s="628">
        <v>70.27</v>
      </c>
      <c r="G16" s="628">
        <v>904.4</v>
      </c>
      <c r="H16" s="628">
        <v>76923.899999999994</v>
      </c>
      <c r="I16" s="628">
        <v>63.553899999999999</v>
      </c>
      <c r="J16" s="628">
        <v>3397.6</v>
      </c>
      <c r="K16" s="628">
        <v>8.6389999999999993</v>
      </c>
      <c r="L16" s="628">
        <v>60.1</v>
      </c>
    </row>
    <row r="17" spans="1:12" x14ac:dyDescent="0.25">
      <c r="A17" s="592">
        <v>46109</v>
      </c>
      <c r="B17" s="628">
        <v>1</v>
      </c>
      <c r="C17" s="628">
        <v>8439.0939999999991</v>
      </c>
      <c r="D17" s="628">
        <v>62.68</v>
      </c>
      <c r="E17" s="628">
        <v>0.82599999999999996</v>
      </c>
      <c r="F17" s="628">
        <v>70.216999999999999</v>
      </c>
      <c r="G17" s="628">
        <v>902.3</v>
      </c>
      <c r="H17" s="628">
        <v>76682.100000000006</v>
      </c>
      <c r="I17" s="628">
        <v>63.354199999999999</v>
      </c>
      <c r="J17" s="628">
        <v>3386.9</v>
      </c>
      <c r="K17" s="628">
        <v>8.6489999999999991</v>
      </c>
      <c r="L17" s="628">
        <v>60</v>
      </c>
    </row>
    <row r="18" spans="1:12" x14ac:dyDescent="0.25">
      <c r="A18" s="592">
        <v>46109</v>
      </c>
      <c r="B18" s="628">
        <v>2</v>
      </c>
      <c r="C18" s="628">
        <v>8433.8160000000007</v>
      </c>
      <c r="D18" s="628">
        <v>62.73</v>
      </c>
      <c r="E18" s="628">
        <v>0.82599999999999996</v>
      </c>
      <c r="F18" s="628">
        <v>70.150000000000006</v>
      </c>
      <c r="G18" s="628">
        <v>903.9</v>
      </c>
      <c r="H18" s="628">
        <v>76752</v>
      </c>
      <c r="I18" s="628">
        <v>63.411799999999999</v>
      </c>
      <c r="J18" s="628">
        <v>3389.9</v>
      </c>
      <c r="K18" s="628">
        <v>8.6349999999999998</v>
      </c>
      <c r="L18" s="628">
        <v>60</v>
      </c>
    </row>
    <row r="19" spans="1:12" x14ac:dyDescent="0.25">
      <c r="A19" s="592">
        <v>46109</v>
      </c>
      <c r="B19" s="628">
        <v>3</v>
      </c>
      <c r="C19" s="628">
        <v>8440.5889999999999</v>
      </c>
      <c r="D19" s="628">
        <v>62.59</v>
      </c>
      <c r="E19" s="628">
        <v>0.82599999999999996</v>
      </c>
      <c r="F19" s="628">
        <v>70.263999999999996</v>
      </c>
      <c r="G19" s="628">
        <v>903.3</v>
      </c>
      <c r="H19" s="628">
        <v>76815.7</v>
      </c>
      <c r="I19" s="628">
        <v>63.464500000000001</v>
      </c>
      <c r="J19" s="628">
        <v>3392.7</v>
      </c>
      <c r="K19" s="628">
        <v>8.6340000000000003</v>
      </c>
      <c r="L19" s="628">
        <v>60</v>
      </c>
    </row>
    <row r="20" spans="1:12" x14ac:dyDescent="0.25">
      <c r="A20" s="592">
        <v>46109</v>
      </c>
      <c r="B20" s="628">
        <v>4</v>
      </c>
      <c r="C20" s="628">
        <v>8442.1990000000005</v>
      </c>
      <c r="D20" s="628">
        <v>62.62</v>
      </c>
      <c r="E20" s="628">
        <v>0.82599999999999996</v>
      </c>
      <c r="F20" s="628">
        <v>70.269000000000005</v>
      </c>
      <c r="G20" s="628">
        <v>903</v>
      </c>
      <c r="H20" s="628">
        <v>76800.7</v>
      </c>
      <c r="I20" s="628">
        <v>63.452100000000002</v>
      </c>
      <c r="J20" s="628">
        <v>3392.2</v>
      </c>
      <c r="K20" s="628">
        <v>8.6300000000000008</v>
      </c>
      <c r="L20" s="628">
        <v>60</v>
      </c>
    </row>
    <row r="21" spans="1:12" x14ac:dyDescent="0.25">
      <c r="A21" s="592">
        <v>46109</v>
      </c>
      <c r="B21" s="628">
        <v>5</v>
      </c>
      <c r="C21" s="628">
        <v>8441.2489999999998</v>
      </c>
      <c r="D21" s="628">
        <v>62.64</v>
      </c>
      <c r="E21" s="628">
        <v>0.82599999999999996</v>
      </c>
      <c r="F21" s="628">
        <v>70.253</v>
      </c>
      <c r="G21" s="628">
        <v>903.6</v>
      </c>
      <c r="H21" s="628">
        <v>76838.5</v>
      </c>
      <c r="I21" s="628">
        <v>63.483400000000003</v>
      </c>
      <c r="J21" s="628">
        <v>3393.7</v>
      </c>
      <c r="K21" s="628">
        <v>8.641</v>
      </c>
      <c r="L21" s="628">
        <v>60</v>
      </c>
    </row>
    <row r="22" spans="1:12" x14ac:dyDescent="0.25">
      <c r="A22" s="592">
        <v>46109</v>
      </c>
      <c r="B22" s="628">
        <v>6</v>
      </c>
      <c r="C22" s="628">
        <v>8441.7549999999992</v>
      </c>
      <c r="D22" s="628">
        <v>62.65</v>
      </c>
      <c r="E22" s="628">
        <v>0.82599999999999996</v>
      </c>
      <c r="F22" s="628">
        <v>70.254000000000005</v>
      </c>
      <c r="G22" s="628">
        <v>903.3</v>
      </c>
      <c r="H22" s="628">
        <v>76809.100000000006</v>
      </c>
      <c r="I22" s="628">
        <v>63.459000000000003</v>
      </c>
      <c r="J22" s="628">
        <v>3392.5</v>
      </c>
      <c r="K22" s="628">
        <v>8.6340000000000003</v>
      </c>
      <c r="L22" s="628">
        <v>60</v>
      </c>
    </row>
    <row r="23" spans="1:12" x14ac:dyDescent="0.25">
      <c r="A23" s="592">
        <v>46109</v>
      </c>
      <c r="B23" s="628">
        <v>7</v>
      </c>
      <c r="C23" s="628">
        <v>8441.5679999999993</v>
      </c>
      <c r="D23" s="628">
        <v>62.65</v>
      </c>
      <c r="E23" s="628">
        <v>0.82599999999999996</v>
      </c>
      <c r="F23" s="628">
        <v>70.253</v>
      </c>
      <c r="G23" s="628">
        <v>902.9</v>
      </c>
      <c r="H23" s="628">
        <v>76774.100000000006</v>
      </c>
      <c r="I23" s="628">
        <v>63.430199999999999</v>
      </c>
      <c r="J23" s="628">
        <v>3391</v>
      </c>
      <c r="K23" s="628">
        <v>8.6259999999999994</v>
      </c>
      <c r="L23" s="628">
        <v>60</v>
      </c>
    </row>
    <row r="24" spans="1:12" x14ac:dyDescent="0.25">
      <c r="A24" s="592">
        <v>46109</v>
      </c>
      <c r="B24" s="628">
        <v>8</v>
      </c>
      <c r="C24" s="628">
        <v>8441.5750000000007</v>
      </c>
      <c r="D24" s="628">
        <v>62.65</v>
      </c>
      <c r="E24" s="628">
        <v>0.82599999999999996</v>
      </c>
      <c r="F24" s="628">
        <v>70.251999999999995</v>
      </c>
      <c r="G24" s="628">
        <v>902.3</v>
      </c>
      <c r="H24" s="628">
        <v>76728.3</v>
      </c>
      <c r="I24" s="628">
        <v>63.392300000000006</v>
      </c>
      <c r="J24" s="628">
        <v>3388.9</v>
      </c>
      <c r="K24" s="628">
        <v>8.6159999999999997</v>
      </c>
      <c r="L24" s="628">
        <v>60</v>
      </c>
    </row>
    <row r="25" spans="1:12" x14ac:dyDescent="0.25">
      <c r="A25" s="592">
        <v>46109</v>
      </c>
      <c r="B25" s="628">
        <v>9</v>
      </c>
      <c r="C25" s="628">
        <v>8442.7440000000006</v>
      </c>
      <c r="D25" s="628">
        <v>62.66</v>
      </c>
      <c r="E25" s="628">
        <v>0.82599999999999996</v>
      </c>
      <c r="F25" s="628">
        <v>70.257999999999996</v>
      </c>
      <c r="G25" s="628">
        <v>902</v>
      </c>
      <c r="H25" s="628">
        <v>76697.600000000006</v>
      </c>
      <c r="I25" s="628">
        <v>63.366999999999997</v>
      </c>
      <c r="J25" s="628">
        <v>3387.6</v>
      </c>
      <c r="K25" s="628">
        <v>8.6080000000000005</v>
      </c>
      <c r="L25" s="628">
        <v>60</v>
      </c>
    </row>
    <row r="26" spans="1:12" x14ac:dyDescent="0.25">
      <c r="A26" s="592">
        <v>46109</v>
      </c>
      <c r="B26" s="628">
        <v>10</v>
      </c>
      <c r="C26" s="628">
        <v>8442.5990000000002</v>
      </c>
      <c r="D26" s="628">
        <v>62.65</v>
      </c>
      <c r="E26" s="628">
        <v>0.82599999999999996</v>
      </c>
      <c r="F26" s="628">
        <v>70.260000000000005</v>
      </c>
      <c r="G26" s="628">
        <v>901</v>
      </c>
      <c r="H26" s="628">
        <v>76627.7</v>
      </c>
      <c r="I26" s="628">
        <v>63.3093</v>
      </c>
      <c r="J26" s="628">
        <v>3384.4</v>
      </c>
      <c r="K26" s="628">
        <v>8.5920000000000005</v>
      </c>
      <c r="L26" s="628">
        <v>60</v>
      </c>
    </row>
    <row r="27" spans="1:12" x14ac:dyDescent="0.25">
      <c r="A27" s="592">
        <v>46109</v>
      </c>
      <c r="B27" s="628">
        <v>11</v>
      </c>
      <c r="C27" s="628">
        <v>8442.8549999999996</v>
      </c>
      <c r="D27" s="628">
        <v>62.66</v>
      </c>
      <c r="E27" s="628">
        <v>0.82599999999999996</v>
      </c>
      <c r="F27" s="628">
        <v>70.259</v>
      </c>
      <c r="G27" s="628">
        <v>901</v>
      </c>
      <c r="H27" s="628">
        <v>76620.800000000003</v>
      </c>
      <c r="I27" s="628">
        <v>63.3035</v>
      </c>
      <c r="J27" s="628">
        <v>3384.2</v>
      </c>
      <c r="K27" s="628">
        <v>8.5909999999999993</v>
      </c>
      <c r="L27" s="628">
        <v>60</v>
      </c>
    </row>
    <row r="28" spans="1:12" hidden="1" x14ac:dyDescent="0.25">
      <c r="A28" s="592">
        <v>46109</v>
      </c>
      <c r="B28" s="628">
        <v>12</v>
      </c>
      <c r="C28" s="638">
        <v>8442.8209999999999</v>
      </c>
      <c r="D28" s="638">
        <v>62.69</v>
      </c>
      <c r="E28" s="638">
        <v>0.82599999999999996</v>
      </c>
      <c r="F28" s="638">
        <v>70.25</v>
      </c>
      <c r="G28" s="638">
        <v>902.4</v>
      </c>
      <c r="H28" s="638">
        <v>76730.5</v>
      </c>
      <c r="I28" s="638">
        <v>63.394199999999998</v>
      </c>
      <c r="J28" s="638">
        <v>3389</v>
      </c>
      <c r="K28" s="638">
        <v>8.6170000000000009</v>
      </c>
      <c r="L28" s="638">
        <v>60</v>
      </c>
    </row>
  </sheetData>
  <mergeCells count="2">
    <mergeCell ref="B1:L1"/>
    <mergeCell ref="A2:A3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21CB-FD8D-4BF3-9347-163C7D1EB05A}">
  <sheetPr codeName="Sheet19">
    <tabColor theme="3"/>
  </sheetPr>
  <dimension ref="A1:O44"/>
  <sheetViews>
    <sheetView workbookViewId="0">
      <selection activeCell="J34" sqref="J34"/>
    </sheetView>
  </sheetViews>
  <sheetFormatPr defaultRowHeight="15" x14ac:dyDescent="0.25"/>
  <cols>
    <col min="1" max="1" width="10.7109375" bestFit="1" customWidth="1"/>
    <col min="2" max="14" width="11.7109375" customWidth="1"/>
  </cols>
  <sheetData>
    <row r="1" spans="1:14" ht="15.75" thickBot="1" x14ac:dyDescent="0.3">
      <c r="B1" s="897" t="s">
        <v>722</v>
      </c>
      <c r="C1" s="880"/>
      <c r="D1" s="880"/>
      <c r="E1" s="898"/>
      <c r="F1" s="880"/>
      <c r="G1" s="880"/>
      <c r="H1" s="880"/>
      <c r="I1" s="880"/>
      <c r="J1" s="880"/>
      <c r="K1" s="880"/>
      <c r="L1" s="880"/>
      <c r="M1" s="880"/>
      <c r="N1" s="880"/>
    </row>
    <row r="2" spans="1:14" ht="31.5" x14ac:dyDescent="0.25">
      <c r="A2" s="895" t="s">
        <v>618</v>
      </c>
      <c r="B2" s="895" t="s">
        <v>619</v>
      </c>
      <c r="C2" s="630" t="s">
        <v>620</v>
      </c>
      <c r="D2" s="630" t="s">
        <v>622</v>
      </c>
      <c r="E2" s="630" t="s">
        <v>623</v>
      </c>
      <c r="F2" s="630" t="s">
        <v>624</v>
      </c>
      <c r="G2" s="630" t="s">
        <v>625</v>
      </c>
      <c r="H2" s="630" t="s">
        <v>626</v>
      </c>
      <c r="I2" s="630" t="s">
        <v>627</v>
      </c>
      <c r="J2" s="630" t="s">
        <v>628</v>
      </c>
      <c r="K2" s="630" t="s">
        <v>629</v>
      </c>
      <c r="L2" s="630" t="s">
        <v>398</v>
      </c>
      <c r="M2" s="631" t="s">
        <v>630</v>
      </c>
      <c r="N2" s="621" t="s">
        <v>631</v>
      </c>
    </row>
    <row r="3" spans="1:14" x14ac:dyDescent="0.25">
      <c r="A3" s="896"/>
      <c r="B3" s="896"/>
      <c r="C3" s="632">
        <f>AVERAGE(C4:C27)</f>
        <v>71.771875000000023</v>
      </c>
      <c r="D3" s="632">
        <f>AVERAGE(D4:D27)</f>
        <v>21.25</v>
      </c>
      <c r="E3" s="632">
        <f t="shared" ref="D3:E3" si="0">AVERAGE(E4:E27)</f>
        <v>707.07208333333313</v>
      </c>
      <c r="F3" s="632">
        <f>AVERAGE(F4:F27)</f>
        <v>705.28750000000025</v>
      </c>
      <c r="G3" s="632">
        <f>SUM(G4:G27)</f>
        <v>28.356999999999999</v>
      </c>
      <c r="H3" s="632">
        <f>SUM(H4:H27)</f>
        <v>28.234000000000005</v>
      </c>
      <c r="I3" s="632">
        <f t="shared" ref="I3:J3" si="1">SUM(I4:I27)</f>
        <v>28.161999999999999</v>
      </c>
      <c r="J3" s="632">
        <f t="shared" si="1"/>
        <v>28.113000000000003</v>
      </c>
      <c r="K3" s="632">
        <f>SUM(K4:K27)</f>
        <v>28.161999999999999</v>
      </c>
      <c r="L3" s="632">
        <v>0</v>
      </c>
      <c r="M3" s="632">
        <f>AVERAGE(M4:M27)</f>
        <v>0.70833333333333337</v>
      </c>
      <c r="N3" s="632">
        <f>AVERAGE(N4:N27)</f>
        <v>0.70653629166666665</v>
      </c>
    </row>
    <row r="4" spans="1:14" x14ac:dyDescent="0.25">
      <c r="A4" s="592">
        <v>46108</v>
      </c>
      <c r="B4" s="633">
        <v>12</v>
      </c>
      <c r="C4" s="633">
        <v>0</v>
      </c>
      <c r="D4" s="633">
        <v>0</v>
      </c>
      <c r="E4" s="633">
        <v>0</v>
      </c>
      <c r="F4" s="633">
        <v>0</v>
      </c>
      <c r="G4" s="633">
        <v>0</v>
      </c>
      <c r="H4" s="633">
        <v>0</v>
      </c>
      <c r="I4" s="633">
        <v>0</v>
      </c>
      <c r="J4" s="633">
        <v>0</v>
      </c>
      <c r="K4" s="633">
        <v>0</v>
      </c>
      <c r="L4" s="633">
        <v>0</v>
      </c>
      <c r="M4" s="633">
        <v>0</v>
      </c>
      <c r="N4" s="633">
        <v>0</v>
      </c>
    </row>
    <row r="5" spans="1:14" x14ac:dyDescent="0.25">
      <c r="A5" s="592">
        <v>46108</v>
      </c>
      <c r="B5" s="633">
        <v>13</v>
      </c>
      <c r="C5" s="633">
        <v>0</v>
      </c>
      <c r="D5" s="633">
        <v>0</v>
      </c>
      <c r="E5" s="633">
        <v>0</v>
      </c>
      <c r="F5" s="633">
        <v>0</v>
      </c>
      <c r="G5" s="633">
        <v>0</v>
      </c>
      <c r="H5" s="633">
        <v>0</v>
      </c>
      <c r="I5" s="633">
        <v>0</v>
      </c>
      <c r="J5" s="633">
        <v>0</v>
      </c>
      <c r="K5" s="633">
        <v>0</v>
      </c>
      <c r="L5" s="633">
        <v>0</v>
      </c>
      <c r="M5" s="633">
        <v>0</v>
      </c>
      <c r="N5" s="633">
        <v>0</v>
      </c>
    </row>
    <row r="6" spans="1:14" x14ac:dyDescent="0.25">
      <c r="A6" s="592">
        <v>46108</v>
      </c>
      <c r="B6" s="633">
        <v>14</v>
      </c>
      <c r="C6" s="633">
        <v>0</v>
      </c>
      <c r="D6" s="633">
        <v>0</v>
      </c>
      <c r="E6" s="633">
        <v>0</v>
      </c>
      <c r="F6" s="633">
        <v>0</v>
      </c>
      <c r="G6" s="633">
        <v>0</v>
      </c>
      <c r="H6" s="633">
        <v>0</v>
      </c>
      <c r="I6" s="633">
        <v>0</v>
      </c>
      <c r="J6" s="633">
        <v>0</v>
      </c>
      <c r="K6" s="633">
        <v>0</v>
      </c>
      <c r="L6" s="633">
        <v>0</v>
      </c>
      <c r="M6" s="633">
        <v>0</v>
      </c>
      <c r="N6" s="633">
        <v>0</v>
      </c>
    </row>
    <row r="7" spans="1:14" x14ac:dyDescent="0.25">
      <c r="A7" s="592">
        <v>46108</v>
      </c>
      <c r="B7" s="633">
        <v>15</v>
      </c>
      <c r="C7" s="633">
        <v>0</v>
      </c>
      <c r="D7" s="633">
        <v>0</v>
      </c>
      <c r="E7" s="633">
        <v>0</v>
      </c>
      <c r="F7" s="633">
        <v>0</v>
      </c>
      <c r="G7" s="633">
        <v>0</v>
      </c>
      <c r="H7" s="633">
        <v>0</v>
      </c>
      <c r="I7" s="633">
        <v>0</v>
      </c>
      <c r="J7" s="633">
        <v>0</v>
      </c>
      <c r="K7" s="633">
        <v>0</v>
      </c>
      <c r="L7" s="633">
        <v>0</v>
      </c>
      <c r="M7" s="633">
        <v>0</v>
      </c>
      <c r="N7" s="633">
        <v>0</v>
      </c>
    </row>
    <row r="8" spans="1:14" x14ac:dyDescent="0.25">
      <c r="A8" s="592">
        <v>46108</v>
      </c>
      <c r="B8" s="633">
        <v>16</v>
      </c>
      <c r="C8" s="633">
        <v>0</v>
      </c>
      <c r="D8" s="633">
        <v>0</v>
      </c>
      <c r="E8" s="633">
        <v>0</v>
      </c>
      <c r="F8" s="633">
        <v>0</v>
      </c>
      <c r="G8" s="633">
        <v>0</v>
      </c>
      <c r="H8" s="633">
        <v>0</v>
      </c>
      <c r="I8" s="633">
        <v>0</v>
      </c>
      <c r="J8" s="633">
        <v>0</v>
      </c>
      <c r="K8" s="633">
        <v>0</v>
      </c>
      <c r="L8" s="633">
        <v>0</v>
      </c>
      <c r="M8" s="633">
        <v>0</v>
      </c>
      <c r="N8" s="633">
        <v>0</v>
      </c>
    </row>
    <row r="9" spans="1:14" x14ac:dyDescent="0.25">
      <c r="A9" s="592">
        <v>46108</v>
      </c>
      <c r="B9" s="633">
        <v>17</v>
      </c>
      <c r="C9" s="633">
        <v>0</v>
      </c>
      <c r="D9" s="633">
        <v>0</v>
      </c>
      <c r="E9" s="633">
        <v>0</v>
      </c>
      <c r="F9" s="633">
        <v>0</v>
      </c>
      <c r="G9" s="633">
        <v>0</v>
      </c>
      <c r="H9" s="633">
        <v>0</v>
      </c>
      <c r="I9" s="633">
        <v>0</v>
      </c>
      <c r="J9" s="633">
        <v>0</v>
      </c>
      <c r="K9" s="633">
        <v>0</v>
      </c>
      <c r="L9" s="633">
        <v>0</v>
      </c>
      <c r="M9" s="633">
        <v>0</v>
      </c>
      <c r="N9" s="633">
        <v>0</v>
      </c>
    </row>
    <row r="10" spans="1:14" x14ac:dyDescent="0.25">
      <c r="A10" s="592">
        <v>46108</v>
      </c>
      <c r="B10" s="633">
        <v>18</v>
      </c>
      <c r="C10" s="633">
        <v>0</v>
      </c>
      <c r="D10" s="633">
        <v>0</v>
      </c>
      <c r="E10" s="633">
        <v>0</v>
      </c>
      <c r="F10" s="633">
        <v>0</v>
      </c>
      <c r="G10" s="633">
        <v>0</v>
      </c>
      <c r="H10" s="633">
        <v>0</v>
      </c>
      <c r="I10" s="633">
        <v>0</v>
      </c>
      <c r="J10" s="633">
        <v>0</v>
      </c>
      <c r="K10" s="633">
        <v>0</v>
      </c>
      <c r="L10" s="633">
        <v>0</v>
      </c>
      <c r="M10" s="633">
        <v>0</v>
      </c>
      <c r="N10" s="633">
        <v>0</v>
      </c>
    </row>
    <row r="11" spans="1:14" x14ac:dyDescent="0.25">
      <c r="A11" s="592">
        <v>46108</v>
      </c>
      <c r="B11" s="633">
        <v>19</v>
      </c>
      <c r="C11" s="633">
        <v>101.325</v>
      </c>
      <c r="D11" s="633">
        <v>30</v>
      </c>
      <c r="E11" s="633">
        <v>998.2</v>
      </c>
      <c r="F11" s="633">
        <v>995.7</v>
      </c>
      <c r="G11" s="633">
        <v>1.621</v>
      </c>
      <c r="H11" s="633">
        <v>1.6140000000000001</v>
      </c>
      <c r="I11" s="633">
        <v>1.61</v>
      </c>
      <c r="J11" s="633">
        <v>1.607</v>
      </c>
      <c r="K11" s="633">
        <v>1.61</v>
      </c>
      <c r="L11" s="633">
        <v>0</v>
      </c>
      <c r="M11" s="633">
        <v>1</v>
      </c>
      <c r="N11" s="633">
        <v>0.99746299999999999</v>
      </c>
    </row>
    <row r="12" spans="1:14" x14ac:dyDescent="0.25">
      <c r="A12" s="592">
        <v>46108</v>
      </c>
      <c r="B12" s="633">
        <v>20</v>
      </c>
      <c r="C12" s="633">
        <v>101.325</v>
      </c>
      <c r="D12" s="633">
        <v>30</v>
      </c>
      <c r="E12" s="633">
        <v>998.2</v>
      </c>
      <c r="F12" s="633">
        <v>995.7</v>
      </c>
      <c r="G12" s="633">
        <v>2.7330000000000001</v>
      </c>
      <c r="H12" s="633">
        <v>2.7210000000000001</v>
      </c>
      <c r="I12" s="633">
        <v>2.714</v>
      </c>
      <c r="J12" s="633">
        <v>2.71</v>
      </c>
      <c r="K12" s="633">
        <v>2.714</v>
      </c>
      <c r="L12" s="633">
        <v>0</v>
      </c>
      <c r="M12" s="633">
        <v>1</v>
      </c>
      <c r="N12" s="633">
        <v>0.99746299999999999</v>
      </c>
    </row>
    <row r="13" spans="1:14" x14ac:dyDescent="0.25">
      <c r="A13" s="592">
        <v>46108</v>
      </c>
      <c r="B13" s="633">
        <v>21</v>
      </c>
      <c r="C13" s="633">
        <v>101.325</v>
      </c>
      <c r="D13" s="633">
        <v>30</v>
      </c>
      <c r="E13" s="633">
        <v>998.2</v>
      </c>
      <c r="F13" s="633">
        <v>995.7</v>
      </c>
      <c r="G13" s="633">
        <v>1.9630000000000001</v>
      </c>
      <c r="H13" s="633">
        <v>1.954</v>
      </c>
      <c r="I13" s="633">
        <v>1.9490000000000001</v>
      </c>
      <c r="J13" s="633">
        <v>1.946</v>
      </c>
      <c r="K13" s="633">
        <v>1.9490000000000001</v>
      </c>
      <c r="L13" s="633">
        <v>0</v>
      </c>
      <c r="M13" s="633">
        <v>1</v>
      </c>
      <c r="N13" s="633">
        <v>0.99746299999999999</v>
      </c>
    </row>
    <row r="14" spans="1:14" x14ac:dyDescent="0.25">
      <c r="A14" s="592">
        <v>46108</v>
      </c>
      <c r="B14" s="633">
        <v>22</v>
      </c>
      <c r="C14" s="633">
        <v>101.325</v>
      </c>
      <c r="D14" s="633">
        <v>30</v>
      </c>
      <c r="E14" s="633">
        <v>998.2</v>
      </c>
      <c r="F14" s="633">
        <v>995.7</v>
      </c>
      <c r="G14" s="633">
        <v>0.83899999999999997</v>
      </c>
      <c r="H14" s="633">
        <v>0.83599999999999997</v>
      </c>
      <c r="I14" s="633">
        <v>0.83299999999999996</v>
      </c>
      <c r="J14" s="633">
        <v>0.83099999999999996</v>
      </c>
      <c r="K14" s="633">
        <v>0.83299999999999996</v>
      </c>
      <c r="L14" s="633">
        <v>0</v>
      </c>
      <c r="M14" s="633">
        <v>1</v>
      </c>
      <c r="N14" s="633">
        <v>0.99746299999999999</v>
      </c>
    </row>
    <row r="15" spans="1:14" x14ac:dyDescent="0.25">
      <c r="A15" s="592">
        <v>46108</v>
      </c>
      <c r="B15" s="633">
        <v>23</v>
      </c>
      <c r="C15" s="633">
        <v>101.325</v>
      </c>
      <c r="D15" s="633">
        <v>30</v>
      </c>
      <c r="E15" s="633">
        <v>998.2</v>
      </c>
      <c r="F15" s="633">
        <v>995.7</v>
      </c>
      <c r="G15" s="633">
        <v>1.5149999999999999</v>
      </c>
      <c r="H15" s="633">
        <v>1.508</v>
      </c>
      <c r="I15" s="633">
        <v>1.5049999999999999</v>
      </c>
      <c r="J15" s="633">
        <v>1.5029999999999999</v>
      </c>
      <c r="K15" s="633">
        <v>1.5049999999999999</v>
      </c>
      <c r="L15" s="633">
        <v>0</v>
      </c>
      <c r="M15" s="633">
        <v>1</v>
      </c>
      <c r="N15" s="633">
        <v>0.99746299999999999</v>
      </c>
    </row>
    <row r="16" spans="1:14" x14ac:dyDescent="0.25">
      <c r="A16" s="592">
        <v>46108</v>
      </c>
      <c r="B16" s="634">
        <v>24</v>
      </c>
      <c r="C16" s="633">
        <v>101.325</v>
      </c>
      <c r="D16" s="633">
        <v>30</v>
      </c>
      <c r="E16" s="633">
        <v>998.2</v>
      </c>
      <c r="F16" s="633">
        <v>995.7</v>
      </c>
      <c r="G16" s="633">
        <v>1.972</v>
      </c>
      <c r="H16" s="633">
        <v>1.964</v>
      </c>
      <c r="I16" s="633">
        <v>1.9590000000000001</v>
      </c>
      <c r="J16" s="633">
        <v>1.9550000000000001</v>
      </c>
      <c r="K16" s="633">
        <v>1.9590000000000001</v>
      </c>
      <c r="L16" s="633">
        <v>0</v>
      </c>
      <c r="M16" s="633">
        <v>1</v>
      </c>
      <c r="N16" s="633">
        <v>0.99746299999999999</v>
      </c>
    </row>
    <row r="17" spans="1:15" x14ac:dyDescent="0.25">
      <c r="A17" s="592">
        <v>46109</v>
      </c>
      <c r="B17" s="633">
        <v>1</v>
      </c>
      <c r="C17" s="633">
        <v>101.325</v>
      </c>
      <c r="D17" s="633">
        <v>30</v>
      </c>
      <c r="E17" s="633">
        <v>998.23</v>
      </c>
      <c r="F17" s="633">
        <v>995.7</v>
      </c>
      <c r="G17" s="633">
        <v>1.7929999999999999</v>
      </c>
      <c r="H17" s="633">
        <v>1.7849999999999999</v>
      </c>
      <c r="I17" s="633">
        <v>1.7809999999999999</v>
      </c>
      <c r="J17" s="633">
        <v>1.7769999999999999</v>
      </c>
      <c r="K17" s="633">
        <v>1.7809999999999999</v>
      </c>
      <c r="L17" s="633">
        <v>0</v>
      </c>
      <c r="M17" s="633">
        <v>1</v>
      </c>
      <c r="N17" s="633">
        <v>0.99746299999999999</v>
      </c>
      <c r="O17" s="403"/>
    </row>
    <row r="18" spans="1:15" x14ac:dyDescent="0.25">
      <c r="A18" s="592">
        <v>46109</v>
      </c>
      <c r="B18" s="633">
        <v>2</v>
      </c>
      <c r="C18" s="633">
        <v>101.325</v>
      </c>
      <c r="D18" s="633">
        <v>30</v>
      </c>
      <c r="E18" s="633">
        <v>998.23</v>
      </c>
      <c r="F18" s="633">
        <v>995.7</v>
      </c>
      <c r="G18" s="633">
        <v>1.655</v>
      </c>
      <c r="H18" s="633">
        <v>1.647</v>
      </c>
      <c r="I18" s="633">
        <v>1.643</v>
      </c>
      <c r="J18" s="633">
        <v>1.64</v>
      </c>
      <c r="K18" s="633">
        <v>1.643</v>
      </c>
      <c r="L18" s="633">
        <v>0</v>
      </c>
      <c r="M18" s="633">
        <v>1</v>
      </c>
      <c r="N18" s="633">
        <v>0.99746299999999999</v>
      </c>
    </row>
    <row r="19" spans="1:15" x14ac:dyDescent="0.25">
      <c r="A19" s="592">
        <v>46109</v>
      </c>
      <c r="B19" s="633">
        <v>3</v>
      </c>
      <c r="C19" s="633">
        <v>101.325</v>
      </c>
      <c r="D19" s="633">
        <v>30</v>
      </c>
      <c r="E19" s="633">
        <v>998.23</v>
      </c>
      <c r="F19" s="633">
        <v>995.7</v>
      </c>
      <c r="G19" s="633">
        <v>1.6859999999999999</v>
      </c>
      <c r="H19" s="633">
        <v>1.679</v>
      </c>
      <c r="I19" s="633">
        <v>1.6739999999999999</v>
      </c>
      <c r="J19" s="633">
        <v>1.6719999999999999</v>
      </c>
      <c r="K19" s="633">
        <v>1.6739999999999999</v>
      </c>
      <c r="L19" s="633">
        <v>0</v>
      </c>
      <c r="M19" s="633">
        <v>1</v>
      </c>
      <c r="N19" s="633">
        <v>0.99746299999999999</v>
      </c>
    </row>
    <row r="20" spans="1:15" x14ac:dyDescent="0.25">
      <c r="A20" s="592">
        <v>46109</v>
      </c>
      <c r="B20" s="633">
        <v>4</v>
      </c>
      <c r="C20" s="633">
        <v>101.325</v>
      </c>
      <c r="D20" s="633">
        <v>30</v>
      </c>
      <c r="E20" s="633">
        <v>998.23</v>
      </c>
      <c r="F20" s="633">
        <v>995.7</v>
      </c>
      <c r="G20" s="633">
        <v>1.607</v>
      </c>
      <c r="H20" s="633">
        <v>1.6</v>
      </c>
      <c r="I20" s="633">
        <v>1.5960000000000001</v>
      </c>
      <c r="J20" s="633">
        <v>1.593</v>
      </c>
      <c r="K20" s="633">
        <v>1.5960000000000001</v>
      </c>
      <c r="L20" s="633">
        <v>0</v>
      </c>
      <c r="M20" s="633">
        <v>1</v>
      </c>
      <c r="N20" s="633">
        <v>0.99746299999999999</v>
      </c>
    </row>
    <row r="21" spans="1:15" x14ac:dyDescent="0.25">
      <c r="A21" s="592">
        <v>46109</v>
      </c>
      <c r="B21" s="633">
        <v>5</v>
      </c>
      <c r="C21" s="633">
        <v>101.325</v>
      </c>
      <c r="D21" s="633">
        <v>30</v>
      </c>
      <c r="E21" s="633">
        <v>998.23</v>
      </c>
      <c r="F21" s="633">
        <v>995.7</v>
      </c>
      <c r="G21" s="633">
        <v>1.6259999999999999</v>
      </c>
      <c r="H21" s="633">
        <v>1.62</v>
      </c>
      <c r="I21" s="633">
        <v>1.615</v>
      </c>
      <c r="J21" s="633">
        <v>1.6120000000000001</v>
      </c>
      <c r="K21" s="633">
        <v>1.615</v>
      </c>
      <c r="L21" s="633">
        <v>0</v>
      </c>
      <c r="M21" s="633">
        <v>1</v>
      </c>
      <c r="N21" s="633">
        <v>0.99746299999999999</v>
      </c>
    </row>
    <row r="22" spans="1:15" x14ac:dyDescent="0.25">
      <c r="A22" s="592">
        <v>46109</v>
      </c>
      <c r="B22" s="633">
        <v>6</v>
      </c>
      <c r="C22" s="633">
        <v>101.325</v>
      </c>
      <c r="D22" s="633">
        <v>30</v>
      </c>
      <c r="E22" s="633">
        <v>998.23</v>
      </c>
      <c r="F22" s="633">
        <v>995.7</v>
      </c>
      <c r="G22" s="633">
        <v>1.61</v>
      </c>
      <c r="H22" s="633">
        <v>1.6020000000000001</v>
      </c>
      <c r="I22" s="633">
        <v>1.599</v>
      </c>
      <c r="J22" s="633">
        <v>1.5960000000000001</v>
      </c>
      <c r="K22" s="633">
        <v>1.599</v>
      </c>
      <c r="L22" s="633">
        <v>0</v>
      </c>
      <c r="M22" s="633">
        <v>1</v>
      </c>
      <c r="N22" s="633">
        <v>0.99746299999999999</v>
      </c>
    </row>
    <row r="23" spans="1:15" x14ac:dyDescent="0.25">
      <c r="A23" s="592">
        <v>46109</v>
      </c>
      <c r="B23" s="633">
        <v>7</v>
      </c>
      <c r="C23" s="633">
        <v>101.325</v>
      </c>
      <c r="D23" s="633">
        <v>30</v>
      </c>
      <c r="E23" s="633">
        <v>998.23</v>
      </c>
      <c r="F23" s="633">
        <v>995.7</v>
      </c>
      <c r="G23" s="633">
        <v>1.5680000000000001</v>
      </c>
      <c r="H23" s="633">
        <v>1.5620000000000001</v>
      </c>
      <c r="I23" s="633">
        <v>1.5569999999999999</v>
      </c>
      <c r="J23" s="633">
        <v>1.5549999999999999</v>
      </c>
      <c r="K23" s="633">
        <v>1.5569999999999999</v>
      </c>
      <c r="L23" s="633">
        <v>0</v>
      </c>
      <c r="M23" s="633">
        <v>1</v>
      </c>
      <c r="N23" s="633">
        <v>0.99746299999999999</v>
      </c>
    </row>
    <row r="24" spans="1:15" x14ac:dyDescent="0.25">
      <c r="A24" s="592">
        <v>46109</v>
      </c>
      <c r="B24" s="633">
        <v>8</v>
      </c>
      <c r="C24" s="633">
        <v>101.325</v>
      </c>
      <c r="D24" s="633">
        <v>30</v>
      </c>
      <c r="E24" s="633">
        <v>998.23</v>
      </c>
      <c r="F24" s="633">
        <v>995.7</v>
      </c>
      <c r="G24" s="633">
        <v>1.5249999999999999</v>
      </c>
      <c r="H24" s="633">
        <v>1.518</v>
      </c>
      <c r="I24" s="633">
        <v>1.5149999999999999</v>
      </c>
      <c r="J24" s="633">
        <v>1.512</v>
      </c>
      <c r="K24" s="633">
        <v>1.5149999999999999</v>
      </c>
      <c r="L24" s="633">
        <v>0</v>
      </c>
      <c r="M24" s="633">
        <v>1</v>
      </c>
      <c r="N24" s="633">
        <v>0.99746299999999999</v>
      </c>
    </row>
    <row r="25" spans="1:15" x14ac:dyDescent="0.25">
      <c r="A25" s="592">
        <v>46109</v>
      </c>
      <c r="B25" s="633">
        <v>9</v>
      </c>
      <c r="C25" s="633">
        <v>101.325</v>
      </c>
      <c r="D25" s="633">
        <v>30</v>
      </c>
      <c r="E25" s="633">
        <v>998.23</v>
      </c>
      <c r="F25" s="633">
        <v>995.7</v>
      </c>
      <c r="G25" s="633">
        <v>1.387</v>
      </c>
      <c r="H25" s="633">
        <v>1.381</v>
      </c>
      <c r="I25" s="633">
        <v>1.3779999999999999</v>
      </c>
      <c r="J25" s="633">
        <v>1.375</v>
      </c>
      <c r="K25" s="633">
        <v>1.3779999999999999</v>
      </c>
      <c r="L25" s="633">
        <v>0</v>
      </c>
      <c r="M25" s="633">
        <v>1</v>
      </c>
      <c r="N25" s="633">
        <v>0.99746299999999999</v>
      </c>
    </row>
    <row r="26" spans="1:15" x14ac:dyDescent="0.25">
      <c r="A26" s="592">
        <v>46109</v>
      </c>
      <c r="B26" s="633">
        <v>10</v>
      </c>
      <c r="C26" s="633">
        <v>101.325</v>
      </c>
      <c r="D26" s="633">
        <v>30</v>
      </c>
      <c r="E26" s="633">
        <v>998.23</v>
      </c>
      <c r="F26" s="633">
        <v>995.7</v>
      </c>
      <c r="G26" s="633">
        <v>1.534</v>
      </c>
      <c r="H26" s="633">
        <v>1.5269999999999999</v>
      </c>
      <c r="I26" s="633">
        <v>1.5229999999999999</v>
      </c>
      <c r="J26" s="633">
        <v>1.52</v>
      </c>
      <c r="K26" s="633">
        <v>1.5229999999999999</v>
      </c>
      <c r="L26" s="633">
        <v>0</v>
      </c>
      <c r="M26" s="633">
        <v>1</v>
      </c>
      <c r="N26" s="633">
        <v>0.99746299999999999</v>
      </c>
    </row>
    <row r="27" spans="1:15" x14ac:dyDescent="0.25">
      <c r="A27" s="592">
        <v>46109</v>
      </c>
      <c r="B27" s="633">
        <v>11</v>
      </c>
      <c r="C27" s="633">
        <v>101.325</v>
      </c>
      <c r="D27" s="633">
        <v>30</v>
      </c>
      <c r="E27" s="633">
        <v>998.23</v>
      </c>
      <c r="F27" s="633">
        <v>995.7</v>
      </c>
      <c r="G27" s="633">
        <v>1.7230000000000001</v>
      </c>
      <c r="H27" s="633">
        <v>1.716</v>
      </c>
      <c r="I27" s="633">
        <v>1.7110000000000001</v>
      </c>
      <c r="J27" s="633">
        <v>1.7090000000000001</v>
      </c>
      <c r="K27" s="633">
        <v>1.7110000000000001</v>
      </c>
      <c r="L27" s="633">
        <v>0</v>
      </c>
      <c r="M27" s="633">
        <v>1</v>
      </c>
      <c r="N27" s="633">
        <v>0.99746299999999999</v>
      </c>
    </row>
    <row r="28" spans="1:15" hidden="1" x14ac:dyDescent="0.25">
      <c r="A28" s="592">
        <v>46109</v>
      </c>
      <c r="B28" s="633">
        <v>12</v>
      </c>
      <c r="C28" s="639">
        <v>101.325</v>
      </c>
      <c r="D28" s="639">
        <v>30</v>
      </c>
      <c r="E28" s="639">
        <v>998.23</v>
      </c>
      <c r="F28" s="639">
        <v>995.7</v>
      </c>
      <c r="G28" s="639">
        <v>1.9770000000000001</v>
      </c>
      <c r="H28" s="639">
        <v>1.968</v>
      </c>
      <c r="I28" s="639">
        <v>1.9630000000000001</v>
      </c>
      <c r="J28" s="639">
        <v>1.9590000000000001</v>
      </c>
      <c r="K28" s="639">
        <v>1.9630000000000001</v>
      </c>
      <c r="L28" s="639">
        <v>0</v>
      </c>
      <c r="M28" s="639">
        <v>1</v>
      </c>
      <c r="N28" s="639">
        <v>0.99746299999999999</v>
      </c>
    </row>
    <row r="29" spans="1:15" x14ac:dyDescent="0.25">
      <c r="B29" s="640"/>
      <c r="C29" s="639"/>
      <c r="D29" s="639"/>
      <c r="E29" s="639"/>
      <c r="F29" s="639"/>
      <c r="G29" s="639"/>
      <c r="H29" s="639"/>
      <c r="I29" s="639"/>
      <c r="J29" s="639"/>
      <c r="K29" s="639"/>
      <c r="L29" s="639"/>
      <c r="M29" s="639"/>
      <c r="N29" s="639"/>
    </row>
    <row r="30" spans="1:15" x14ac:dyDescent="0.25">
      <c r="B30" s="565"/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</row>
    <row r="32" spans="1:15" x14ac:dyDescent="0.25">
      <c r="C32" s="565"/>
    </row>
    <row r="33" spans="3:3" x14ac:dyDescent="0.25">
      <c r="C33" s="565"/>
    </row>
    <row r="34" spans="3:3" x14ac:dyDescent="0.25">
      <c r="C34" s="565"/>
    </row>
    <row r="35" spans="3:3" x14ac:dyDescent="0.25">
      <c r="C35" s="565"/>
    </row>
    <row r="36" spans="3:3" x14ac:dyDescent="0.25">
      <c r="C36" s="565"/>
    </row>
    <row r="37" spans="3:3" x14ac:dyDescent="0.25">
      <c r="C37" s="565"/>
    </row>
    <row r="38" spans="3:3" x14ac:dyDescent="0.25">
      <c r="C38" s="565"/>
    </row>
    <row r="39" spans="3:3" x14ac:dyDescent="0.25">
      <c r="C39" s="565"/>
    </row>
    <row r="40" spans="3:3" x14ac:dyDescent="0.25">
      <c r="C40" s="565"/>
    </row>
    <row r="41" spans="3:3" x14ac:dyDescent="0.25">
      <c r="C41" s="565"/>
    </row>
    <row r="42" spans="3:3" x14ac:dyDescent="0.25">
      <c r="C42" s="565"/>
    </row>
    <row r="43" spans="3:3" x14ac:dyDescent="0.25">
      <c r="C43" s="565"/>
    </row>
    <row r="44" spans="3:3" x14ac:dyDescent="0.25">
      <c r="C44" s="565"/>
    </row>
  </sheetData>
  <mergeCells count="3">
    <mergeCell ref="B1:N1"/>
    <mergeCell ref="B2:B3"/>
    <mergeCell ref="A2:A3"/>
  </mergeCells>
  <pageMargins left="0.7" right="0.7" top="0.75" bottom="0.75" header="0.3" footer="0.3"/>
  <pageSetup orientation="portrait" r:id="rId1"/>
  <ignoredErrors>
    <ignoredError sqref="C3" formulaRange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/>
  </sheetPr>
  <dimension ref="A1:L57"/>
  <sheetViews>
    <sheetView showGridLines="0" zoomScaleNormal="100" workbookViewId="0">
      <pane ySplit="5" topLeftCell="A20" activePane="bottomLeft" state="frozen"/>
      <selection activeCell="A10" sqref="A10:J10"/>
      <selection pane="bottomLeft" activeCell="E54" sqref="E54"/>
    </sheetView>
  </sheetViews>
  <sheetFormatPr defaultRowHeight="15" x14ac:dyDescent="0.25"/>
  <cols>
    <col min="1" max="1" width="34" customWidth="1"/>
    <col min="2" max="2" width="30.42578125" customWidth="1"/>
    <col min="3" max="3" width="26" customWidth="1"/>
    <col min="4" max="4" width="33.28515625" customWidth="1"/>
    <col min="5" max="5" width="20" customWidth="1"/>
    <col min="6" max="7" width="18" customWidth="1"/>
    <col min="8" max="8" width="21.5703125" customWidth="1"/>
    <col min="9" max="9" width="20.7109375" customWidth="1"/>
    <col min="10" max="10" width="18" customWidth="1"/>
  </cols>
  <sheetData>
    <row r="1" spans="1:10" ht="54.75" customHeight="1" x14ac:dyDescent="0.25">
      <c r="A1" s="13"/>
      <c r="B1" s="868" t="s">
        <v>79</v>
      </c>
      <c r="C1" s="868"/>
      <c r="D1" s="868"/>
      <c r="E1" s="868"/>
      <c r="F1" s="868"/>
      <c r="G1" s="868"/>
      <c r="H1" s="868"/>
      <c r="I1" s="868"/>
      <c r="J1" s="868"/>
    </row>
    <row r="2" spans="1:10" ht="19.899999999999999" customHeight="1" x14ac:dyDescent="0.3">
      <c r="A2" s="773" t="s">
        <v>515</v>
      </c>
      <c r="B2" s="774"/>
      <c r="C2" s="774"/>
      <c r="D2" s="774"/>
      <c r="E2" s="774"/>
      <c r="F2" s="774"/>
      <c r="G2" s="774"/>
      <c r="H2" s="774"/>
      <c r="I2" s="774"/>
      <c r="J2" s="774"/>
    </row>
    <row r="4" spans="1:10" ht="30" x14ac:dyDescent="0.25">
      <c r="A4" s="49" t="s">
        <v>516</v>
      </c>
      <c r="B4" s="42"/>
      <c r="C4" s="42"/>
      <c r="D4" s="42"/>
      <c r="E4" s="42"/>
      <c r="F4" s="42"/>
      <c r="G4" s="42"/>
      <c r="H4" s="42"/>
      <c r="I4" s="42"/>
      <c r="J4" s="42"/>
    </row>
    <row r="5" spans="1:10" x14ac:dyDescent="0.25">
      <c r="A5" s="16" t="s">
        <v>517</v>
      </c>
      <c r="B5" s="24">
        <v>0.8</v>
      </c>
      <c r="C5" s="28"/>
      <c r="D5" s="28"/>
      <c r="E5" s="28"/>
      <c r="F5" s="28"/>
      <c r="G5" s="28"/>
    </row>
    <row r="6" spans="1:10" x14ac:dyDescent="0.25">
      <c r="A6" s="16" t="s">
        <v>518</v>
      </c>
      <c r="B6" s="24">
        <v>1.2</v>
      </c>
      <c r="C6" s="28"/>
      <c r="D6" s="28"/>
      <c r="E6" s="28"/>
      <c r="F6" s="28"/>
      <c r="G6" s="28"/>
    </row>
    <row r="7" spans="1:10" x14ac:dyDescent="0.25">
      <c r="A7" s="16" t="s">
        <v>519</v>
      </c>
      <c r="B7" s="38">
        <v>0.1</v>
      </c>
      <c r="C7" s="28"/>
      <c r="D7" s="28"/>
      <c r="E7" s="28"/>
      <c r="F7" s="28"/>
      <c r="G7" s="28"/>
    </row>
    <row r="8" spans="1:10" x14ac:dyDescent="0.25">
      <c r="A8" s="16" t="s">
        <v>520</v>
      </c>
      <c r="B8" s="38">
        <v>7.0000000000000007E-2</v>
      </c>
      <c r="C8" s="28"/>
      <c r="D8" s="28"/>
      <c r="E8" s="28"/>
      <c r="F8" s="28"/>
      <c r="G8" s="28"/>
    </row>
    <row r="10" spans="1:10" x14ac:dyDescent="0.25">
      <c r="A10" s="775" t="s">
        <v>521</v>
      </c>
      <c r="B10" s="776"/>
      <c r="C10" s="776"/>
      <c r="D10" s="776"/>
      <c r="E10" s="776"/>
      <c r="F10" s="776"/>
      <c r="G10" s="776"/>
      <c r="H10" s="776"/>
      <c r="I10" s="776"/>
      <c r="J10" s="776"/>
    </row>
    <row r="11" spans="1:10" ht="18" customHeight="1" x14ac:dyDescent="0.25">
      <c r="A11" s="15" t="s">
        <v>471</v>
      </c>
      <c r="B11" s="15" t="s">
        <v>522</v>
      </c>
      <c r="C11" s="15" t="s">
        <v>523</v>
      </c>
      <c r="D11" s="15" t="s">
        <v>524</v>
      </c>
      <c r="E11" s="15" t="s">
        <v>525</v>
      </c>
    </row>
    <row r="12" spans="1:10" x14ac:dyDescent="0.25">
      <c r="A12" s="6" t="s">
        <v>526</v>
      </c>
      <c r="B12" s="66">
        <f>'3-Dados_Totalizados_27&amp;28_03'!C41</f>
        <v>7370.6369999999988</v>
      </c>
      <c r="C12" s="66">
        <f>'3-Dados_Totalizados_27&amp;28_03'!C46</f>
        <v>5917.3486010099996</v>
      </c>
      <c r="D12" s="32">
        <f>B12-C12</f>
        <v>1453.2883989899992</v>
      </c>
      <c r="E12" s="58">
        <f>IF(C12=0,"",(B12/C12-1))</f>
        <v>0.24559790152331828</v>
      </c>
    </row>
    <row r="13" spans="1:10" x14ac:dyDescent="0.25">
      <c r="A13" s="6" t="s">
        <v>527</v>
      </c>
      <c r="B13" s="66">
        <f>'3-Dados_Totalizados_27&amp;28_03'!C42</f>
        <v>0</v>
      </c>
      <c r="C13" s="66">
        <f>'3-Dados_Totalizados_27&amp;28_03'!C47</f>
        <v>1523.5213999999999</v>
      </c>
      <c r="D13" s="32">
        <f>B13-C13</f>
        <v>-1523.5213999999999</v>
      </c>
      <c r="E13" s="58">
        <f>IF(C13=0,"",(B13/C13-1))</f>
        <v>-1</v>
      </c>
      <c r="G13" s="871"/>
    </row>
    <row r="14" spans="1:10" x14ac:dyDescent="0.25">
      <c r="A14" s="6" t="s">
        <v>528</v>
      </c>
      <c r="B14" s="66">
        <f>'3-Dados_Totalizados_27&amp;28_03'!C43</f>
        <v>4.886000000000001</v>
      </c>
      <c r="C14" s="66">
        <f>'3-Dados_Totalizados_27&amp;28_03'!C48</f>
        <v>28.113000000000003</v>
      </c>
      <c r="D14" s="47">
        <f>B14-C14</f>
        <v>-23.227000000000004</v>
      </c>
      <c r="E14" s="58">
        <f>IF(C14=0,"",(B14/C14-1))</f>
        <v>-0.82620140148685661</v>
      </c>
      <c r="G14" s="871"/>
    </row>
    <row r="15" spans="1:10" x14ac:dyDescent="0.25">
      <c r="A15" s="6" t="s">
        <v>529</v>
      </c>
      <c r="B15" s="66">
        <f>'3-Dados_Totalizados_27&amp;28_03'!C44</f>
        <v>7370.6369999999988</v>
      </c>
      <c r="C15" s="66">
        <f>'3-Dados_Totalizados_27&amp;28_03'!C49</f>
        <v>7440.8700010100001</v>
      </c>
      <c r="D15" s="32">
        <f>B15-C15</f>
        <v>-70.233001010001317</v>
      </c>
      <c r="E15" s="58">
        <f>IF(C15=0,"",(B15/C15-1))</f>
        <v>-9.4388157568224829E-3</v>
      </c>
      <c r="F15" s="740"/>
      <c r="G15" s="871"/>
    </row>
    <row r="16" spans="1:10" x14ac:dyDescent="0.25">
      <c r="A16" s="6" t="s">
        <v>530</v>
      </c>
      <c r="B16" s="66">
        <f>'3-Dados_Totalizados_27&amp;28_03'!C45</f>
        <v>7375.523000000001</v>
      </c>
      <c r="C16" s="66">
        <f>'3-Dados_Totalizados_27&amp;28_03'!C50</f>
        <v>7468.9830010099995</v>
      </c>
      <c r="D16" s="32">
        <f t="shared" ref="D16" si="0">B16-C16</f>
        <v>-93.46000100999845</v>
      </c>
      <c r="E16" s="58">
        <f t="shared" ref="E16" si="1">IF(C16=0,"",(B16/C16-1))</f>
        <v>-1.2513082570593692E-2</v>
      </c>
    </row>
    <row r="18" spans="1:12" x14ac:dyDescent="0.25">
      <c r="A18" s="869" t="s">
        <v>327</v>
      </c>
      <c r="B18" s="870"/>
      <c r="C18" s="870"/>
      <c r="D18" s="872"/>
      <c r="E18" s="872"/>
      <c r="F18" s="872"/>
      <c r="G18" s="872"/>
      <c r="H18" s="872"/>
      <c r="I18" s="870"/>
      <c r="J18" s="870"/>
    </row>
    <row r="19" spans="1:12" ht="42.4" customHeight="1" x14ac:dyDescent="0.25">
      <c r="A19" s="48" t="s">
        <v>531</v>
      </c>
      <c r="B19" s="6" t="s">
        <v>160</v>
      </c>
      <c r="C19" s="74" t="s">
        <v>532</v>
      </c>
      <c r="D19" s="874" t="s">
        <v>533</v>
      </c>
      <c r="E19" s="875"/>
      <c r="F19" s="875"/>
      <c r="G19" s="875"/>
      <c r="H19" s="876"/>
      <c r="I19" s="9"/>
    </row>
    <row r="20" spans="1:12" ht="39.6" customHeight="1" x14ac:dyDescent="0.25">
      <c r="A20" s="6" t="s">
        <v>534</v>
      </c>
      <c r="B20" s="6" t="s">
        <v>160</v>
      </c>
      <c r="C20" s="74" t="s">
        <v>532</v>
      </c>
      <c r="D20" s="877" t="s">
        <v>535</v>
      </c>
      <c r="E20" s="878"/>
      <c r="F20" s="878"/>
      <c r="G20" s="878"/>
      <c r="H20" s="878"/>
      <c r="I20" s="143">
        <f>B12/B14</f>
        <v>1508.52169463774</v>
      </c>
    </row>
    <row r="21" spans="1:12" x14ac:dyDescent="0.25">
      <c r="D21" s="9"/>
      <c r="E21" s="9"/>
      <c r="F21" s="9"/>
      <c r="G21" s="9"/>
      <c r="H21" s="9"/>
    </row>
    <row r="22" spans="1:12" x14ac:dyDescent="0.25">
      <c r="A22" s="869" t="s">
        <v>536</v>
      </c>
      <c r="B22" s="870"/>
      <c r="C22" s="870"/>
      <c r="D22" s="870"/>
      <c r="E22" s="870"/>
      <c r="F22" s="870"/>
      <c r="G22" s="870"/>
      <c r="H22" s="870"/>
      <c r="I22" s="870"/>
      <c r="J22" s="870"/>
    </row>
    <row r="23" spans="1:12" ht="18" customHeight="1" x14ac:dyDescent="0.25">
      <c r="A23" s="9"/>
      <c r="B23" s="55" t="s">
        <v>537</v>
      </c>
      <c r="C23" s="54" t="s">
        <v>538</v>
      </c>
      <c r="D23" s="9"/>
    </row>
    <row r="24" spans="1:12" ht="30" x14ac:dyDescent="0.25">
      <c r="A24" s="15" t="s">
        <v>471</v>
      </c>
      <c r="B24" s="53" t="s">
        <v>539</v>
      </c>
      <c r="C24" s="53" t="s">
        <v>540</v>
      </c>
      <c r="D24" s="15" t="s">
        <v>541</v>
      </c>
      <c r="L24" s="79"/>
    </row>
    <row r="25" spans="1:12" x14ac:dyDescent="0.25">
      <c r="A25" s="6" t="s">
        <v>542</v>
      </c>
      <c r="B25" s="39">
        <v>1</v>
      </c>
      <c r="C25" s="39">
        <f>C28</f>
        <v>1.0095287559284227</v>
      </c>
      <c r="D25" s="40" t="str">
        <f>IF(C25="","",IF(AND(C25&gt;=$B$5,C25&lt;=$B$6),"OK","Fora"))</f>
        <v>OK</v>
      </c>
    </row>
    <row r="26" spans="1:12" x14ac:dyDescent="0.25">
      <c r="A26" s="6" t="s">
        <v>543</v>
      </c>
      <c r="B26" s="39">
        <v>1</v>
      </c>
      <c r="C26" s="39">
        <f>IF(B19="Sim", B26, C13/B13)</f>
        <v>1</v>
      </c>
      <c r="D26" s="40" t="str">
        <f>IF(C26="","",IF(AND(C26&gt;=$B$5,C26&lt;=$B$6),"OK","Fora"))</f>
        <v>OK</v>
      </c>
    </row>
    <row r="27" spans="1:12" x14ac:dyDescent="0.25">
      <c r="A27" s="6" t="s">
        <v>544</v>
      </c>
      <c r="B27" s="39">
        <v>1</v>
      </c>
      <c r="C27" s="39">
        <f>IF(B20="Sim", B27, C14/B14)</f>
        <v>1</v>
      </c>
      <c r="D27" s="40" t="str">
        <f>IF(C27="","",IF(AND(C27&gt;=$B$5,C27&lt;=$B$6),"OK","Fora"))</f>
        <v>OK</v>
      </c>
    </row>
    <row r="28" spans="1:12" x14ac:dyDescent="0.25">
      <c r="A28" s="6" t="s">
        <v>545</v>
      </c>
      <c r="B28" s="39">
        <v>1</v>
      </c>
      <c r="C28" s="39">
        <f>C15/B15</f>
        <v>1.0095287559284227</v>
      </c>
      <c r="D28" s="40" t="str">
        <f>IF(C28="","",IF(AND(C28&gt;=$B$5,C28&lt;=$B$6),"OK","Fora"))</f>
        <v>OK</v>
      </c>
    </row>
    <row r="30" spans="1:12" x14ac:dyDescent="0.25">
      <c r="A30" s="873" t="s">
        <v>546</v>
      </c>
      <c r="B30" s="873"/>
      <c r="C30" s="873"/>
      <c r="D30" s="42"/>
      <c r="E30" s="42"/>
      <c r="F30" s="42"/>
      <c r="G30" s="42"/>
      <c r="H30" s="42"/>
      <c r="I30" s="42"/>
      <c r="J30" s="42"/>
    </row>
    <row r="31" spans="1:12" ht="18" customHeight="1" x14ac:dyDescent="0.25">
      <c r="A31" s="15" t="s">
        <v>471</v>
      </c>
      <c r="B31" s="15" t="s">
        <v>547</v>
      </c>
      <c r="C31" s="15" t="s">
        <v>548</v>
      </c>
      <c r="D31" s="15" t="s">
        <v>549</v>
      </c>
      <c r="E31" s="15" t="s">
        <v>523</v>
      </c>
      <c r="F31" s="15" t="s">
        <v>550</v>
      </c>
      <c r="G31" s="15" t="s">
        <v>551</v>
      </c>
      <c r="H31" s="15" t="s">
        <v>552</v>
      </c>
      <c r="I31" s="15" t="s">
        <v>5</v>
      </c>
    </row>
    <row r="32" spans="1:12" x14ac:dyDescent="0.25">
      <c r="A32" s="6" t="s">
        <v>526</v>
      </c>
      <c r="B32" s="66">
        <f>'3-Dados_Totalizados_27&amp;28_03'!C41</f>
        <v>7370.6369999999988</v>
      </c>
      <c r="C32" s="67">
        <f>$C$25</f>
        <v>1.0095287559284227</v>
      </c>
      <c r="D32" s="33">
        <f>IF(OR(B32="",C32=""),"",B32*C32)</f>
        <v>7440.870001010001</v>
      </c>
      <c r="E32" s="66">
        <f>C12</f>
        <v>5917.3486010099996</v>
      </c>
      <c r="F32" s="68" t="str">
        <f>IF(B19="Sim","",IF(E32=0,"",(D32/E32-1)))</f>
        <v/>
      </c>
      <c r="G32" s="64" t="s">
        <v>12</v>
      </c>
      <c r="H32" s="65" t="s">
        <v>553</v>
      </c>
      <c r="I32" s="69" t="s">
        <v>554</v>
      </c>
    </row>
    <row r="33" spans="1:10" x14ac:dyDescent="0.25">
      <c r="A33" s="6" t="s">
        <v>527</v>
      </c>
      <c r="B33" s="66">
        <f>'3-Dados_Totalizados_27&amp;28_03'!C42</f>
        <v>0</v>
      </c>
      <c r="C33" s="67">
        <f>$C$26</f>
        <v>1</v>
      </c>
      <c r="D33" s="33">
        <f>IF(OR(B33="",C33=""),"",B33*C33)</f>
        <v>0</v>
      </c>
      <c r="E33" s="66">
        <f>C13</f>
        <v>1523.5213999999999</v>
      </c>
      <c r="F33" s="68" t="str">
        <f>IF(B19="Sim","",IF(E33=0,"",(D33/E33-1)))</f>
        <v/>
      </c>
      <c r="G33" s="64" t="s">
        <v>12</v>
      </c>
      <c r="H33" s="65" t="s">
        <v>553</v>
      </c>
      <c r="I33" s="69" t="s">
        <v>554</v>
      </c>
    </row>
    <row r="34" spans="1:10" x14ac:dyDescent="0.25">
      <c r="A34" s="6" t="s">
        <v>528</v>
      </c>
      <c r="B34" s="66">
        <f>'3-Dados_Totalizados_27&amp;28_03'!C43</f>
        <v>4.886000000000001</v>
      </c>
      <c r="C34" s="67">
        <f>$C$27</f>
        <v>1</v>
      </c>
      <c r="D34" s="33">
        <f>IF(OR(B34="",C34=""),"",B34*C34)</f>
        <v>4.886000000000001</v>
      </c>
      <c r="E34" s="66">
        <f>C14</f>
        <v>28.113000000000003</v>
      </c>
      <c r="F34" s="68" t="str">
        <f>IF(B20="Sim","",IF(E34=0,"",(D34/E34-1)))</f>
        <v/>
      </c>
      <c r="G34" s="64" t="s">
        <v>12</v>
      </c>
      <c r="H34" s="65" t="s">
        <v>553</v>
      </c>
      <c r="I34" s="69" t="s">
        <v>554</v>
      </c>
    </row>
    <row r="35" spans="1:10" x14ac:dyDescent="0.25">
      <c r="A35" s="6" t="s">
        <v>482</v>
      </c>
      <c r="B35" s="66">
        <f>'3-Dados_Totalizados_27&amp;28_03'!C44</f>
        <v>7370.6369999999988</v>
      </c>
      <c r="C35" s="67">
        <f>$C$28</f>
        <v>1.0095287559284227</v>
      </c>
      <c r="D35" s="33">
        <f>IF(OR(B32="",B33=""),"",(B32*C32)+(B33*C33))</f>
        <v>7440.870001010001</v>
      </c>
      <c r="E35" s="66">
        <f t="shared" ref="E35" si="2">C15</f>
        <v>7440.8700010100001</v>
      </c>
      <c r="F35" s="68">
        <f>IF(B22="Sim","",IF(E35=0,"",(D35/E35-1)))</f>
        <v>2.2204460492503131E-16</v>
      </c>
      <c r="G35" s="64">
        <v>0.1</v>
      </c>
      <c r="H35" s="65" t="s">
        <v>553</v>
      </c>
      <c r="I35" s="69" t="s">
        <v>555</v>
      </c>
    </row>
    <row r="36" spans="1:10" x14ac:dyDescent="0.25">
      <c r="A36" s="6" t="s">
        <v>483</v>
      </c>
      <c r="B36" s="66">
        <f>'3-Dados_Totalizados_27&amp;28_03'!C45</f>
        <v>7375.523000000001</v>
      </c>
      <c r="C36" s="67" t="s">
        <v>12</v>
      </c>
      <c r="D36" s="33">
        <f>D33+D32+D34</f>
        <v>7445.7560010100015</v>
      </c>
      <c r="E36" s="66">
        <f>C16</f>
        <v>7468.9830010099995</v>
      </c>
      <c r="F36" s="68">
        <f>IF(B23="Sim","",IF(E36=0,"",(D36/E36-1)))</f>
        <v>-3.1097941977986654E-3</v>
      </c>
      <c r="G36" s="64">
        <f>B8</f>
        <v>7.0000000000000007E-2</v>
      </c>
      <c r="H36" s="64" t="s">
        <v>12</v>
      </c>
      <c r="I36" s="69" t="s">
        <v>555</v>
      </c>
    </row>
    <row r="38" spans="1:10" hidden="1" x14ac:dyDescent="0.25">
      <c r="A38" s="775"/>
      <c r="B38" s="776"/>
      <c r="C38" s="776"/>
      <c r="D38" s="776"/>
      <c r="E38" s="776"/>
      <c r="F38" s="776"/>
      <c r="G38" s="776"/>
      <c r="H38" s="776"/>
      <c r="I38" s="776"/>
      <c r="J38" s="776"/>
    </row>
    <row r="39" spans="1:10" ht="18" hidden="1" customHeight="1" x14ac:dyDescent="0.25">
      <c r="A39" s="15"/>
      <c r="B39" s="15"/>
      <c r="C39" s="15"/>
      <c r="D39" s="15"/>
      <c r="E39" s="15"/>
    </row>
    <row r="40" spans="1:10" hidden="1" x14ac:dyDescent="0.25">
      <c r="A40" s="5"/>
      <c r="B40" s="10"/>
      <c r="C40" s="7"/>
      <c r="D40" s="8"/>
      <c r="E40" s="11"/>
    </row>
    <row r="41" spans="1:10" hidden="1" x14ac:dyDescent="0.25">
      <c r="A41" s="5"/>
      <c r="B41" s="10"/>
      <c r="C41" s="7"/>
      <c r="D41" s="8"/>
      <c r="E41" s="11"/>
    </row>
    <row r="42" spans="1:10" hidden="1" x14ac:dyDescent="0.25">
      <c r="A42" s="5"/>
      <c r="B42" s="10"/>
      <c r="C42" s="7"/>
      <c r="D42" s="8"/>
      <c r="E42" s="11"/>
    </row>
    <row r="43" spans="1:10" hidden="1" x14ac:dyDescent="0.25"/>
    <row r="44" spans="1:10" x14ac:dyDescent="0.25">
      <c r="E44" s="41"/>
    </row>
    <row r="46" spans="1:10" x14ac:dyDescent="0.25">
      <c r="F46" s="922">
        <f>(E36-D36)/E36</f>
        <v>3.1097941977987031E-3</v>
      </c>
    </row>
    <row r="47" spans="1:10" x14ac:dyDescent="0.25">
      <c r="D47" s="73"/>
    </row>
    <row r="53" spans="2:3" x14ac:dyDescent="0.25">
      <c r="B53" s="567" t="s">
        <v>471</v>
      </c>
      <c r="C53" s="567" t="s">
        <v>556</v>
      </c>
    </row>
    <row r="54" spans="2:3" x14ac:dyDescent="0.25">
      <c r="B54" s="326" t="s">
        <v>542</v>
      </c>
      <c r="C54" s="191">
        <v>1.0095329366129413</v>
      </c>
    </row>
    <row r="55" spans="2:3" x14ac:dyDescent="0.25">
      <c r="B55" s="326" t="s">
        <v>543</v>
      </c>
      <c r="C55" s="191">
        <v>1</v>
      </c>
    </row>
    <row r="56" spans="2:3" x14ac:dyDescent="0.25">
      <c r="B56" s="326" t="s">
        <v>544</v>
      </c>
      <c r="C56" s="191">
        <v>1</v>
      </c>
    </row>
    <row r="57" spans="2:3" x14ac:dyDescent="0.25">
      <c r="B57" s="326" t="s">
        <v>545</v>
      </c>
      <c r="C57" s="191">
        <v>1.0095329366129413</v>
      </c>
    </row>
  </sheetData>
  <mergeCells count="10">
    <mergeCell ref="B1:J1"/>
    <mergeCell ref="A2:J2"/>
    <mergeCell ref="A38:J38"/>
    <mergeCell ref="A10:J10"/>
    <mergeCell ref="A22:J22"/>
    <mergeCell ref="G13:G15"/>
    <mergeCell ref="A18:J18"/>
    <mergeCell ref="A30:C30"/>
    <mergeCell ref="D19:H19"/>
    <mergeCell ref="D20:H20"/>
  </mergeCells>
  <conditionalFormatting sqref="D25:D28">
    <cfRule type="expression" dxfId="23" priority="2">
      <formula>D25="Fora"</formula>
    </cfRule>
  </conditionalFormatting>
  <conditionalFormatting sqref="I32:I36">
    <cfRule type="expression" dxfId="22" priority="1">
      <formula>I32="Fora"</formula>
    </cfRule>
  </conditionalFormatting>
  <pageMargins left="0.75" right="0.75" top="1" bottom="1" header="0.5" footer="0.5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9" tint="-0.249977111117893"/>
  </sheetPr>
  <dimension ref="A1:AS26"/>
  <sheetViews>
    <sheetView showGridLines="0" zoomScale="85" zoomScaleNormal="85" workbookViewId="0">
      <pane xSplit="1" topLeftCell="B1" activePane="topRight" state="frozen"/>
      <selection activeCell="A10" sqref="A10:J10"/>
      <selection pane="topRight" activeCell="Z23" sqref="Z23"/>
    </sheetView>
  </sheetViews>
  <sheetFormatPr defaultRowHeight="15" x14ac:dyDescent="0.25"/>
  <cols>
    <col min="1" max="1" width="24.28515625" customWidth="1"/>
    <col min="2" max="2" width="20" customWidth="1"/>
    <col min="3" max="3" width="17.42578125" customWidth="1"/>
    <col min="4" max="4" width="11.140625" bestFit="1" customWidth="1"/>
    <col min="5" max="12" width="13.5703125" customWidth="1"/>
    <col min="13" max="16" width="8.7109375" customWidth="1"/>
    <col min="17" max="36" width="16.85546875" customWidth="1"/>
    <col min="37" max="44" width="17.85546875" customWidth="1"/>
    <col min="45" max="45" width="42.42578125" customWidth="1"/>
  </cols>
  <sheetData>
    <row r="1" spans="1:45" ht="54" customHeight="1" x14ac:dyDescent="0.25">
      <c r="A1" s="13"/>
      <c r="B1" s="868" t="s">
        <v>79</v>
      </c>
      <c r="C1" s="868"/>
      <c r="D1" s="868"/>
      <c r="E1" s="868"/>
      <c r="F1" s="868"/>
      <c r="G1" s="868"/>
      <c r="H1" s="868"/>
      <c r="I1" s="868"/>
      <c r="J1" s="868"/>
      <c r="K1" s="868"/>
      <c r="L1" s="868"/>
      <c r="M1" s="868"/>
      <c r="N1" s="868"/>
      <c r="O1" s="868"/>
      <c r="P1" s="868"/>
      <c r="Q1" s="868"/>
      <c r="R1" s="868"/>
      <c r="S1" s="868"/>
      <c r="T1" s="868"/>
      <c r="U1" s="868"/>
      <c r="V1" s="868"/>
      <c r="W1" s="868"/>
      <c r="X1" s="868"/>
      <c r="Y1" s="868"/>
      <c r="Z1" s="868"/>
      <c r="AA1" s="868"/>
      <c r="AB1" s="868"/>
      <c r="AC1" s="868"/>
      <c r="AD1" s="868"/>
      <c r="AE1" s="868"/>
      <c r="AF1" s="868"/>
      <c r="AG1" s="868"/>
      <c r="AH1" s="868"/>
      <c r="AI1" s="868"/>
      <c r="AJ1" s="868"/>
      <c r="AK1" s="868"/>
      <c r="AL1" s="868"/>
      <c r="AM1" s="868"/>
      <c r="AN1" s="868"/>
      <c r="AO1" s="868"/>
      <c r="AP1" s="868"/>
      <c r="AQ1" s="868"/>
      <c r="AR1" s="868"/>
      <c r="AS1" s="868"/>
    </row>
    <row r="2" spans="1:45" ht="19.899999999999999" customHeight="1" x14ac:dyDescent="0.3">
      <c r="A2" s="773" t="s">
        <v>557</v>
      </c>
      <c r="B2" s="774"/>
      <c r="C2" s="774"/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  <c r="AB2" s="774"/>
      <c r="AC2" s="774"/>
      <c r="AD2" s="774"/>
      <c r="AE2" s="774"/>
      <c r="AF2" s="774"/>
      <c r="AG2" s="774"/>
      <c r="AH2" s="774"/>
      <c r="AI2" s="774"/>
      <c r="AJ2" s="774"/>
      <c r="AK2" s="774"/>
      <c r="AL2" s="774"/>
      <c r="AM2" s="774"/>
      <c r="AN2" s="774"/>
      <c r="AO2" s="774"/>
      <c r="AP2" s="774"/>
      <c r="AQ2" s="774"/>
      <c r="AR2" s="774"/>
      <c r="AS2" s="774"/>
    </row>
    <row r="4" spans="1:45" x14ac:dyDescent="0.25">
      <c r="A4" s="879" t="s">
        <v>558</v>
      </c>
      <c r="B4" s="880"/>
      <c r="C4" s="880"/>
      <c r="D4" s="880"/>
      <c r="E4" s="880"/>
      <c r="F4" s="880"/>
      <c r="G4" s="880"/>
      <c r="H4" s="880"/>
      <c r="I4" s="880"/>
      <c r="J4" s="880"/>
      <c r="K4" s="880"/>
      <c r="L4" s="880"/>
      <c r="M4" s="880"/>
      <c r="N4" s="880"/>
      <c r="O4" s="880"/>
      <c r="P4" s="880"/>
      <c r="Q4" s="880"/>
      <c r="R4" s="880"/>
      <c r="S4" s="880"/>
      <c r="T4" s="880"/>
      <c r="U4" s="880"/>
      <c r="V4" s="880"/>
      <c r="W4" s="880"/>
      <c r="X4" s="880"/>
      <c r="Y4" s="880"/>
      <c r="Z4" s="880"/>
      <c r="AA4" s="880"/>
      <c r="AB4" s="880"/>
      <c r="AC4" s="880"/>
      <c r="AD4" s="880"/>
      <c r="AE4" s="880"/>
      <c r="AF4" s="880"/>
      <c r="AG4" s="880"/>
      <c r="AH4" s="880"/>
      <c r="AI4" s="880"/>
      <c r="AJ4" s="880"/>
      <c r="AK4" s="880"/>
      <c r="AL4" s="880"/>
      <c r="AM4" s="880"/>
      <c r="AN4" s="880"/>
      <c r="AO4" s="880"/>
      <c r="AP4" s="880"/>
      <c r="AQ4" s="880"/>
      <c r="AR4" s="880"/>
      <c r="AS4" s="880"/>
    </row>
    <row r="5" spans="1:45" ht="39.75" customHeight="1" x14ac:dyDescent="0.25">
      <c r="A5" s="4" t="s">
        <v>502</v>
      </c>
      <c r="B5" s="15" t="s">
        <v>559</v>
      </c>
      <c r="C5" s="15" t="s">
        <v>560</v>
      </c>
      <c r="D5" s="15" t="s">
        <v>561</v>
      </c>
      <c r="E5" s="56" t="s">
        <v>562</v>
      </c>
      <c r="F5" s="56" t="s">
        <v>563</v>
      </c>
      <c r="G5" s="56" t="s">
        <v>564</v>
      </c>
      <c r="H5" s="56" t="s">
        <v>565</v>
      </c>
      <c r="I5" s="56" t="s">
        <v>566</v>
      </c>
      <c r="J5" s="930" t="s">
        <v>567</v>
      </c>
      <c r="K5" s="930" t="s">
        <v>568</v>
      </c>
      <c r="L5" s="930" t="s">
        <v>569</v>
      </c>
      <c r="M5" s="575" t="s">
        <v>542</v>
      </c>
      <c r="N5" s="575" t="s">
        <v>543</v>
      </c>
      <c r="O5" s="575" t="s">
        <v>544</v>
      </c>
      <c r="P5" s="575" t="s">
        <v>545</v>
      </c>
      <c r="Q5" s="59" t="s">
        <v>570</v>
      </c>
      <c r="R5" s="59" t="s">
        <v>732</v>
      </c>
      <c r="S5" s="59" t="s">
        <v>571</v>
      </c>
      <c r="T5" s="59" t="s">
        <v>379</v>
      </c>
      <c r="U5" s="59" t="s">
        <v>380</v>
      </c>
      <c r="V5" s="59" t="s">
        <v>572</v>
      </c>
      <c r="W5" s="59" t="s">
        <v>573</v>
      </c>
      <c r="X5" s="59" t="s">
        <v>574</v>
      </c>
      <c r="Y5" s="15" t="s">
        <v>575</v>
      </c>
      <c r="Z5" s="15" t="s">
        <v>576</v>
      </c>
      <c r="AA5" s="15" t="s">
        <v>577</v>
      </c>
      <c r="AB5" s="15" t="s">
        <v>578</v>
      </c>
      <c r="AC5" s="15" t="s">
        <v>579</v>
      </c>
      <c r="AD5" s="15" t="s">
        <v>580</v>
      </c>
      <c r="AE5" s="15" t="s">
        <v>581</v>
      </c>
      <c r="AF5" s="15" t="s">
        <v>582</v>
      </c>
      <c r="AG5" s="15" t="s">
        <v>583</v>
      </c>
      <c r="AH5" s="15" t="s">
        <v>394</v>
      </c>
      <c r="AI5" s="15" t="s">
        <v>395</v>
      </c>
      <c r="AJ5" s="15" t="s">
        <v>584</v>
      </c>
      <c r="AK5" s="15" t="s">
        <v>397</v>
      </c>
      <c r="AL5" s="15" t="s">
        <v>398</v>
      </c>
      <c r="AM5" s="15" t="s">
        <v>585</v>
      </c>
      <c r="AN5" s="15" t="s">
        <v>586</v>
      </c>
      <c r="AO5" s="15" t="s">
        <v>587</v>
      </c>
      <c r="AP5" s="15" t="s">
        <v>414</v>
      </c>
      <c r="AQ5" s="15" t="s">
        <v>415</v>
      </c>
      <c r="AR5" s="15" t="s">
        <v>416</v>
      </c>
      <c r="AS5" s="15" t="s">
        <v>438</v>
      </c>
    </row>
    <row r="6" spans="1:45" ht="22.5" customHeight="1" x14ac:dyDescent="0.25">
      <c r="A6" s="57">
        <v>46108</v>
      </c>
      <c r="B6" s="61">
        <v>46108.5</v>
      </c>
      <c r="C6" s="61">
        <v>46109.5</v>
      </c>
      <c r="D6" s="33">
        <f>IF(OR(B6="",C6=""),"", (C6-B6)*24)</f>
        <v>24</v>
      </c>
      <c r="E6" s="33">
        <f>'3-Dados_Totalizados_27&amp;28_03'!$C$41</f>
        <v>7370.6369999999988</v>
      </c>
      <c r="F6" s="33">
        <f>'3-Dados_Totalizados_27&amp;28_03'!$C$42</f>
        <v>0</v>
      </c>
      <c r="G6" s="33">
        <f>'3-Dados_Totalizados_27&amp;28_03'!$C$43</f>
        <v>4.886000000000001</v>
      </c>
      <c r="H6" s="33">
        <f>'3-Dados_Totalizados_27&amp;28_03'!$C$44</f>
        <v>7370.6369999999988</v>
      </c>
      <c r="I6" s="33">
        <f>'3-Dados_Totalizados_27&amp;28_03'!$C$45</f>
        <v>7375.523000000001</v>
      </c>
      <c r="J6" s="33">
        <f>'3-Dados_Totalizados_27&amp;28_03'!$AG$34</f>
        <v>6420.3250000000007</v>
      </c>
      <c r="K6" s="33">
        <f>'3-Dados_Totalizados_27&amp;28_03'!$AH$34</f>
        <v>2123.6849999999999</v>
      </c>
      <c r="L6" s="33">
        <f>'3-Dados_Totalizados_27&amp;28_03'!$AI$34</f>
        <v>3.9239999999999999</v>
      </c>
      <c r="M6" s="576">
        <v>1.0095000000000001</v>
      </c>
      <c r="N6" s="576">
        <v>1</v>
      </c>
      <c r="O6" s="576">
        <v>1</v>
      </c>
      <c r="P6" s="576">
        <v>1.0095000000000001</v>
      </c>
      <c r="Q6" s="33">
        <f>E6*M6</f>
        <v>7440.6580514999996</v>
      </c>
      <c r="R6" s="33">
        <f>F6*N6</f>
        <v>0</v>
      </c>
      <c r="S6" s="33">
        <f>IF(G6="","",G6*'4-Fator_ReconciliaçãoK'!$C$27)</f>
        <v>4.886000000000001</v>
      </c>
      <c r="T6" s="33">
        <f>H6*P6</f>
        <v>7440.6580514999996</v>
      </c>
      <c r="U6" s="33">
        <f>Q6+R6+S6</f>
        <v>7445.5440515</v>
      </c>
      <c r="V6" s="33">
        <f>J6*'4-Fator_ReconciliaçãoK'!C$25</f>
        <v>6481.5027099061517</v>
      </c>
      <c r="W6" s="33">
        <f>K6*'4-Fator_ReconciliaçãoK'!$C$26</f>
        <v>2123.6849999999999</v>
      </c>
      <c r="X6" s="33">
        <f>L6*'4-Fator_ReconciliaçãoK'!C$27</f>
        <v>3.9239999999999999</v>
      </c>
      <c r="Y6" s="33">
        <f>'SEP_27&amp;28_03_OLEO'!I3</f>
        <v>7703.5769999999993</v>
      </c>
      <c r="Z6" s="926">
        <f>'SEP_27&amp;28_03_OLEO'!E3</f>
        <v>62.915833333333353</v>
      </c>
      <c r="AA6" s="33">
        <f>'SEP_27&amp;28_03_OLEO'!D3</f>
        <v>80.942771666666673</v>
      </c>
      <c r="AB6" s="33">
        <f>'3-Dados_Totalizados_27&amp;28_03'!AN34</f>
        <v>768.12999999999977</v>
      </c>
      <c r="AC6" s="33">
        <f>AB6/1000*Y6</f>
        <v>5917.3486010099978</v>
      </c>
      <c r="AD6" s="33">
        <f>'SEP_27&amp;28_03_GAS'!I3</f>
        <v>1523.5213999999999</v>
      </c>
      <c r="AE6" s="33">
        <f>'SEP_27&amp;28_03_AGUA'!K3</f>
        <v>28.161999999999999</v>
      </c>
      <c r="AF6" s="33">
        <f>AC6+AD6</f>
        <v>7440.8700010099974</v>
      </c>
      <c r="AG6" s="33">
        <f>AE6+AF6</f>
        <v>7469.0320010099977</v>
      </c>
      <c r="AH6" s="929">
        <f>((AF6-T6)/AF6)</f>
        <v>2.8484506511876255E-5</v>
      </c>
      <c r="AI6" s="929">
        <f>((AG6-U6)/AG6)</f>
        <v>3.1447113236121472E-3</v>
      </c>
      <c r="AJ6" s="92">
        <v>72.69</v>
      </c>
      <c r="AK6" s="33">
        <f>'3-Dados_Totalizados_27&amp;28_03'!AX34</f>
        <v>0.8402999999999996</v>
      </c>
      <c r="AL6" s="33">
        <f>'3-Dados_Totalizados_27&amp;28_03'!AY34</f>
        <v>0.18750000000000008</v>
      </c>
      <c r="AM6" s="33">
        <f>'3-Dados_Totalizados_27&amp;28_03'!BA34</f>
        <v>6278.9540295009001</v>
      </c>
      <c r="AN6" s="33">
        <f>'3-Dados_Totalizados_27&amp;28_03'!BE34</f>
        <v>2300.4448684044214</v>
      </c>
      <c r="AO6" s="33">
        <f>'3-Dados_Totalizados_27&amp;28_03'!BH34</f>
        <v>40.946469300000004</v>
      </c>
      <c r="AP6" s="928">
        <f>(AM6-V6)/AM6</f>
        <v>-3.2258347402067497E-2</v>
      </c>
      <c r="AQ6" s="925">
        <f t="shared" ref="AQ6:AQ8" si="0">(AN6-W6)/AN6</f>
        <v>7.6837254755434042E-2</v>
      </c>
      <c r="AR6" s="925">
        <f>(AO6-X6)/AO6</f>
        <v>0.90416756152404087</v>
      </c>
      <c r="AS6" s="226"/>
    </row>
    <row r="7" spans="1:45" s="28" customFormat="1" ht="15" hidden="1" customHeight="1" x14ac:dyDescent="0.25">
      <c r="A7" s="57">
        <v>46109</v>
      </c>
      <c r="B7" s="61">
        <v>46109.916666666664</v>
      </c>
      <c r="C7" s="61">
        <v>46110.916666666664</v>
      </c>
      <c r="D7" s="33">
        <f>IF(OR(B7="",C7=""),"", (C7-B7)*24)</f>
        <v>24</v>
      </c>
      <c r="E7" s="33">
        <f>'5.1 TotalHorario_Acomp28&amp;29_03'!C41</f>
        <v>3495.0829999999996</v>
      </c>
      <c r="F7" s="33">
        <f>'5.1 TotalHorario_Acomp28&amp;29_03'!C42</f>
        <v>0</v>
      </c>
      <c r="G7" s="33">
        <f>'5.1 TotalHorario_Acomp28&amp;29_03'!C43</f>
        <v>4.237000000000001</v>
      </c>
      <c r="H7" s="33">
        <f>'5.1 TotalHorario_Acomp28&amp;29_03'!C44</f>
        <v>3495.0829999999996</v>
      </c>
      <c r="I7" s="33">
        <f>'5.1 TotalHorario_Acomp28&amp;29_03'!C45</f>
        <v>3499.32</v>
      </c>
      <c r="J7" s="33">
        <f>'5.1 TotalHorario_Acomp28&amp;29_03'!AF34</f>
        <v>3073.3770000000004</v>
      </c>
      <c r="K7" s="33">
        <f>'5.1 TotalHorario_Acomp28&amp;29_03'!AG34</f>
        <v>1016.5969999999999</v>
      </c>
      <c r="L7" s="33">
        <f>'5.1 TotalHorario_Acomp28&amp;29_03'!AH34</f>
        <v>3.403999999999999</v>
      </c>
      <c r="M7" s="576">
        <v>1.0095000000000001</v>
      </c>
      <c r="N7" s="576">
        <v>1</v>
      </c>
      <c r="O7" s="576">
        <v>1</v>
      </c>
      <c r="P7" s="576">
        <v>1.0095000000000001</v>
      </c>
      <c r="Q7" s="33">
        <f>E7*M7</f>
        <v>3528.2862885</v>
      </c>
      <c r="R7" s="33">
        <f>F7*N7</f>
        <v>0</v>
      </c>
      <c r="S7" s="33">
        <f>IF(G7="","",G7*'4-Fator_ReconciliaçãoK'!$C$27)</f>
        <v>4.237000000000001</v>
      </c>
      <c r="T7" s="33">
        <f t="shared" ref="T7:T8" si="1">H7*P7</f>
        <v>3528.2862885</v>
      </c>
      <c r="U7" s="33">
        <f>R7+Q7+S7</f>
        <v>3532.5232885</v>
      </c>
      <c r="V7" s="33">
        <f>J7*'4-Fator_ReconciliaçãoK'!C$25</f>
        <v>3102.6624593090287</v>
      </c>
      <c r="W7" s="33">
        <f>K7*'4-Fator_ReconciliaçãoK'!$C$26</f>
        <v>1016.5969999999999</v>
      </c>
      <c r="X7" s="33">
        <f>L7*'4-Fator_ReconciliaçãoK'!C$27</f>
        <v>3.403999999999999</v>
      </c>
      <c r="Y7" s="33">
        <f>SEP_29_03_OLEO!J2</f>
        <v>3291.43</v>
      </c>
      <c r="Z7" s="33">
        <f>SEP_29_03_OLEO!E2</f>
        <v>45.271250000000002</v>
      </c>
      <c r="AA7" s="33">
        <f>SEP_29_03_OLEO!D2</f>
        <v>88.03811125</v>
      </c>
      <c r="AB7" s="33">
        <f>'5.1 TotalHorario_Acomp28&amp;29_03'!AM34</f>
        <v>768.12999999999977</v>
      </c>
      <c r="AC7" s="33">
        <f>AB7/1000*Y7</f>
        <v>2528.2461258999992</v>
      </c>
      <c r="AD7" s="33">
        <f>SEP_29_03_GAS!I2</f>
        <v>625.80949999999996</v>
      </c>
      <c r="AE7" s="33">
        <f>SEP_29_03_AGUA!K2</f>
        <v>35.667999999999992</v>
      </c>
      <c r="AF7" s="33">
        <f>AC7+AD7</f>
        <v>3154.0556258999991</v>
      </c>
      <c r="AG7" s="33">
        <f>AC7+AD7+AE7</f>
        <v>3189.7236258999992</v>
      </c>
      <c r="AH7" s="929">
        <f t="shared" ref="AH6:AH7" si="2">((AF7-T7)/AF7)*100</f>
        <v>-11.865062224234407</v>
      </c>
      <c r="AI7" s="929">
        <f t="shared" ref="AI6:AI8" si="3">((AG7-U7)/AG7)*100</f>
        <v>-10.747002022887733</v>
      </c>
      <c r="AJ7" s="92">
        <v>72.69</v>
      </c>
      <c r="AK7" s="92">
        <v>0.84030000000000005</v>
      </c>
      <c r="AL7" s="33">
        <f>'3-Dados_Totalizados_27&amp;28_03'!AY35</f>
        <v>0</v>
      </c>
      <c r="AM7" s="33">
        <f>'5.1 TotalHorario_Acomp28&amp;29_03'!AZ34</f>
        <v>2763.9372202106401</v>
      </c>
      <c r="AN7" s="33">
        <f>'5.1 TotalHorario_Acomp28&amp;29_03'!BD34</f>
        <v>931.87319653711154</v>
      </c>
      <c r="AO7" s="33">
        <f>'5.1 TotalHorario_Acomp28&amp;29_03'!BG34</f>
        <v>37.871271199999995</v>
      </c>
      <c r="AP7" s="738">
        <f t="shared" ref="AP6:AP8" si="4">(AM7-V7)/AM7</f>
        <v>-0.12255171232600365</v>
      </c>
      <c r="AQ7" s="925">
        <f t="shared" si="0"/>
        <v>-9.0917738355096284E-2</v>
      </c>
      <c r="AR7" s="925">
        <f t="shared" ref="AR6:AR8" si="5">(AO7-X7)/AO7</f>
        <v>0.9101165635020988</v>
      </c>
      <c r="AS7" s="226"/>
    </row>
    <row r="8" spans="1:45" x14ac:dyDescent="0.25">
      <c r="A8" s="57" t="e">
        <f>#REF!</f>
        <v>#REF!</v>
      </c>
      <c r="B8" s="61">
        <v>46109</v>
      </c>
      <c r="C8" s="61">
        <v>46110</v>
      </c>
      <c r="D8" s="33">
        <f t="shared" ref="D8:D9" si="6">IF(OR(B8="",C8=""),"", (C8-B8)*24)</f>
        <v>24</v>
      </c>
      <c r="E8" s="33" t="e">
        <f>#REF!</f>
        <v>#REF!</v>
      </c>
      <c r="F8" s="33" t="e">
        <f>#REF!</f>
        <v>#REF!</v>
      </c>
      <c r="G8" s="33" t="e">
        <f>#REF!</f>
        <v>#REF!</v>
      </c>
      <c r="H8" s="33" t="e">
        <f>#REF!</f>
        <v>#REF!</v>
      </c>
      <c r="I8" s="33" t="e">
        <f>#REF!</f>
        <v>#REF!</v>
      </c>
      <c r="J8" s="33" t="e">
        <f>#REF!</f>
        <v>#REF!</v>
      </c>
      <c r="K8" s="33" t="e">
        <f>#REF!</f>
        <v>#REF!</v>
      </c>
      <c r="L8" s="33" t="e">
        <f>#REF!</f>
        <v>#REF!</v>
      </c>
      <c r="M8" s="576">
        <v>1.0095000000000001</v>
      </c>
      <c r="N8" s="576">
        <v>1</v>
      </c>
      <c r="O8" s="576">
        <v>1</v>
      </c>
      <c r="P8" s="576">
        <v>1.0095000000000001</v>
      </c>
      <c r="Q8" s="33" t="e">
        <f>E8*M8</f>
        <v>#REF!</v>
      </c>
      <c r="R8" s="33" t="e">
        <f>F8*N8</f>
        <v>#REF!</v>
      </c>
      <c r="S8" s="33" t="e">
        <f>IF(G8="","",G8*'4-Fator_ReconciliaçãoK'!$C$27)</f>
        <v>#REF!</v>
      </c>
      <c r="T8" s="33" t="e">
        <f>H8*P8</f>
        <v>#REF!</v>
      </c>
      <c r="U8" s="33" t="e">
        <f>R8+Q8+S8</f>
        <v>#REF!</v>
      </c>
      <c r="V8" s="33" t="e">
        <f>J8*'4-Fator_ReconciliaçãoK'!C$25</f>
        <v>#REF!</v>
      </c>
      <c r="W8" s="33" t="e">
        <f>K8*'4-Fator_ReconciliaçãoK'!$C$26</f>
        <v>#REF!</v>
      </c>
      <c r="X8" s="33" t="e">
        <f>L8*'4-Fator_ReconciliaçãoK'!C$27</f>
        <v>#REF!</v>
      </c>
      <c r="Y8" s="33">
        <f>'5.1 TotalHorario_Acomp28&amp;29_03'!AL34</f>
        <v>3340.9999999999995</v>
      </c>
      <c r="Z8" s="33">
        <f>SEP_29_03_OLEO!E32</f>
        <v>61.81</v>
      </c>
      <c r="AA8" s="33">
        <f>SEP_29_03_OLEO!D32</f>
        <v>84.724629999999991</v>
      </c>
      <c r="AB8" s="33">
        <f>'5.1 TotalHorario_Acomp28&amp;29_03'!AM34</f>
        <v>768.12999999999977</v>
      </c>
      <c r="AC8" s="33">
        <f>AB8/1000*Y8</f>
        <v>2566.3223299999991</v>
      </c>
      <c r="AD8" s="33">
        <f>SEP_29_03_GAS!I35</f>
        <v>1221.8939</v>
      </c>
      <c r="AE8" s="33">
        <f>SEP_29_03_AGUA!K30</f>
        <v>42.302</v>
      </c>
      <c r="AF8" s="33">
        <f>AC8+AD8</f>
        <v>3788.2162299999991</v>
      </c>
      <c r="AG8" s="33">
        <f>AC8+AD8+AE8</f>
        <v>3830.5182299999992</v>
      </c>
      <c r="AH8" s="929" t="e">
        <f>((AF8-T8)/AF8)</f>
        <v>#REF!</v>
      </c>
      <c r="AI8" s="929" t="e">
        <f>((AG8-U8)/AG8)</f>
        <v>#REF!</v>
      </c>
      <c r="AJ8" s="92">
        <v>72.69</v>
      </c>
      <c r="AK8" s="92">
        <v>0.84030000000000005</v>
      </c>
      <c r="AL8" s="33">
        <f>'5.1 TotalHorario_Acomp28&amp;29_03'!AX34</f>
        <v>5.8333333333333341E-2</v>
      </c>
      <c r="AM8" s="33">
        <f>'5.1 TotalHorario_Acomp28&amp;29_03'!AZ34</f>
        <v>2763.9372202106401</v>
      </c>
      <c r="AN8" s="33">
        <f>'5.1 TotalHorario_Acomp28&amp;29_03'!BD34</f>
        <v>931.87319653711154</v>
      </c>
      <c r="AO8" s="33">
        <f>'5.1 TotalHorario_Acomp28&amp;29_03'!BG34</f>
        <v>37.871271199999995</v>
      </c>
      <c r="AP8" s="921" t="e">
        <f>(AM8-V8)/AM8</f>
        <v>#REF!</v>
      </c>
      <c r="AQ8" s="921" t="e">
        <f>(AN8-W8)/AN8</f>
        <v>#REF!</v>
      </c>
      <c r="AR8" s="921" t="e">
        <f>(AO8-X8)/AO8</f>
        <v>#REF!</v>
      </c>
      <c r="AS8" s="51"/>
    </row>
    <row r="9" spans="1:45" x14ac:dyDescent="0.25">
      <c r="A9" s="57">
        <f>'5.1 TotalHorario_Acomp18&amp;19_04'!A10</f>
        <v>46130.333333333336</v>
      </c>
      <c r="B9" s="61">
        <v>46130.333333333336</v>
      </c>
      <c r="C9" s="61">
        <v>46131.333333333336</v>
      </c>
      <c r="D9" s="33">
        <f t="shared" si="6"/>
        <v>24</v>
      </c>
      <c r="E9" s="33">
        <f>'5.1 TotalHorario_Acomp18&amp;19_04'!H34</f>
        <v>3388.5760000000005</v>
      </c>
      <c r="F9" s="33">
        <f>'5.1 TotalHorario_Acomp18&amp;19_04'!I34</f>
        <v>0</v>
      </c>
      <c r="G9" s="33">
        <f>'5.1 TotalHorario_Acomp18&amp;19_04'!J34</f>
        <v>3.0960000000000001</v>
      </c>
      <c r="H9" s="33">
        <f>'5.1 TotalHorario_Acomp18&amp;19_04'!K34</f>
        <v>3388.5760000000005</v>
      </c>
      <c r="I9" s="33">
        <f>'5.1 TotalHorario_Acomp18&amp;19_04'!L34</f>
        <v>3391.6660000000002</v>
      </c>
      <c r="J9" s="33">
        <f>'5.1 TotalHorario_Acomp18&amp;19_04'!AF34</f>
        <v>2980.2129999999997</v>
      </c>
      <c r="K9" s="33">
        <f>'5.1 TotalHorario_Acomp18&amp;19_04'!AG34</f>
        <v>985.61899999999991</v>
      </c>
      <c r="L9" s="33">
        <f>'5.1 TotalHorario_Acomp18&amp;19_04'!AH34</f>
        <v>2.4850000000000017</v>
      </c>
      <c r="M9" s="576">
        <v>1.0095000000000001</v>
      </c>
      <c r="N9" s="576">
        <v>1</v>
      </c>
      <c r="O9" s="576">
        <v>1</v>
      </c>
      <c r="P9" s="576">
        <v>1.0095000000000001</v>
      </c>
      <c r="Q9" s="33">
        <f>E9*M9</f>
        <v>3420.7674720000009</v>
      </c>
      <c r="R9" s="33">
        <f>F9*N9</f>
        <v>0</v>
      </c>
      <c r="S9" s="33">
        <f>IF(G9="","",G9*'4-Fator_ReconciliaçãoK'!$C$27)</f>
        <v>3.0960000000000001</v>
      </c>
      <c r="T9" s="33">
        <f>H9*P9</f>
        <v>3420.7674720000009</v>
      </c>
      <c r="U9" s="33">
        <f>R9+Q9+S9</f>
        <v>3423.8634720000009</v>
      </c>
      <c r="V9" s="33">
        <f>J9*'4-Fator_ReconciliaçãoK'!C$25</f>
        <v>3008.6107222917121</v>
      </c>
      <c r="W9" s="33">
        <f>K9*'4-Fator_ReconciliaçãoK'!$C$26</f>
        <v>985.61899999999991</v>
      </c>
      <c r="X9" s="33">
        <f>L9*'4-Fator_ReconciliaçãoK'!C$27</f>
        <v>2.4850000000000017</v>
      </c>
      <c r="Y9" s="33">
        <f>'5.1 TotalHorario_Acomp18&amp;19_04'!AL34</f>
        <v>3413.8020000000001</v>
      </c>
      <c r="Z9" s="33">
        <f>'5.1 TotalHorario_Acomp18&amp;19_04'!AJ34</f>
        <v>47.64708333333332</v>
      </c>
      <c r="AA9" s="33">
        <f>'5.1 TotalHorario_Acomp18&amp;19_04'!AK34</f>
        <v>82.926994583333325</v>
      </c>
      <c r="AB9" s="33">
        <f>'5.1 TotalHorario_Acomp18&amp;19_04'!AM34</f>
        <v>801.5333333333333</v>
      </c>
      <c r="AC9" s="33">
        <f>AB9/1000*Y9</f>
        <v>2736.2760963999999</v>
      </c>
      <c r="AD9" s="33">
        <f>'5.1 TotalHorario_Acomp18&amp;19_04'!AP34</f>
        <v>661.89159999999981</v>
      </c>
      <c r="AE9" s="33">
        <f>'5.1 TotalHorario_Acomp18&amp;19_04'!AQ34</f>
        <v>0</v>
      </c>
      <c r="AF9" s="33">
        <f>AC9+AD9</f>
        <v>3398.1676963999998</v>
      </c>
      <c r="AG9" s="33">
        <f>AC9+AD9+AE9</f>
        <v>3398.1676963999998</v>
      </c>
      <c r="AH9" s="929">
        <f>((AF9-T9)/AF9)</f>
        <v>-6.6505769047075416E-3</v>
      </c>
      <c r="AI9" s="929">
        <f>((AG9-U9)/AG9)</f>
        <v>-7.5616561322806508E-3</v>
      </c>
      <c r="AJ9" s="92">
        <v>72.69</v>
      </c>
      <c r="AK9" s="92">
        <v>0.84030000000000005</v>
      </c>
      <c r="AL9" s="33">
        <f>'5.1 TotalHorario_Acomp18&amp;19_04'!AX34</f>
        <v>4.5000000000000012E-2</v>
      </c>
      <c r="AM9" s="33">
        <f>'5.1 TotalHorario_Acomp18&amp;19_04'!AZ34</f>
        <v>2821.9676466437409</v>
      </c>
      <c r="AN9" s="33">
        <f>'5.1 TotalHorario_Acomp18&amp;19_04'!BD34</f>
        <v>1006.2638282345332</v>
      </c>
      <c r="AO9" s="927">
        <f>'5.1 TotalHorario_Acomp18&amp;19_04'!BG34</f>
        <v>1.5120941999999999</v>
      </c>
      <c r="AP9" s="925">
        <f>(AM9-V9)/AM9</f>
        <v>-6.6139339290424551E-2</v>
      </c>
      <c r="AQ9" s="925">
        <f>(AN9-W9)/AN9</f>
        <v>2.0516317545423619E-2</v>
      </c>
      <c r="AR9" s="925">
        <f>(AO9-X9)/AO9</f>
        <v>-0.6434161310849561</v>
      </c>
      <c r="AS9" s="51"/>
    </row>
    <row r="10" spans="1:45" x14ac:dyDescent="0.25">
      <c r="A10" s="57">
        <v>46131</v>
      </c>
      <c r="B10" s="61">
        <v>46131</v>
      </c>
      <c r="C10" s="61">
        <v>46132</v>
      </c>
      <c r="D10" s="33">
        <f t="shared" ref="D10:D13" si="7">IF(OR(B10="",C10=""),"", (C10-B10)*24)</f>
        <v>24</v>
      </c>
      <c r="E10" s="33">
        <v>3383.0590000000002</v>
      </c>
      <c r="F10" s="33">
        <v>0</v>
      </c>
      <c r="G10" s="33">
        <v>3.089</v>
      </c>
      <c r="H10" s="33">
        <v>3383.0590000000002</v>
      </c>
      <c r="I10" s="33">
        <f>H10+G10</f>
        <v>3386.1480000000001</v>
      </c>
      <c r="J10" s="33">
        <v>2974.8719999999998</v>
      </c>
      <c r="K10" s="33">
        <v>984.01499999999999</v>
      </c>
      <c r="L10" s="33">
        <v>2.4809999999999999</v>
      </c>
      <c r="M10" s="576">
        <v>1.0095000000000001</v>
      </c>
      <c r="N10" s="576">
        <v>1</v>
      </c>
      <c r="O10" s="576">
        <v>1</v>
      </c>
      <c r="P10" s="576">
        <v>1.0095000000000001</v>
      </c>
      <c r="Q10" s="33">
        <f>E10*M10</f>
        <v>3415.1980605000003</v>
      </c>
      <c r="R10" s="33">
        <f>F10*N10</f>
        <v>0</v>
      </c>
      <c r="S10" s="33">
        <f>IF(G10="","",G10*'4-Fator_ReconciliaçãoK'!$C$27)</f>
        <v>3.089</v>
      </c>
      <c r="T10" s="33">
        <f>H10*P10</f>
        <v>3415.1980605000003</v>
      </c>
      <c r="U10" s="33">
        <f>IF(OR(Q10="",R10="",S10=""),"",Q10+R10+S10)</f>
        <v>3418.2870605000003</v>
      </c>
      <c r="V10" s="33">
        <v>2974.8719999999998</v>
      </c>
      <c r="W10" s="33">
        <v>984.01499999999999</v>
      </c>
      <c r="X10" s="33">
        <v>2.4809999999999999</v>
      </c>
      <c r="Y10" s="33">
        <v>3351.99</v>
      </c>
      <c r="Z10" s="33">
        <v>48.2</v>
      </c>
      <c r="AA10" s="33">
        <v>86.49</v>
      </c>
      <c r="AB10" s="927">
        <f>AB9</f>
        <v>801.5333333333333</v>
      </c>
      <c r="AC10" s="33">
        <f>AB10/1000*Y10</f>
        <v>2686.731718</v>
      </c>
      <c r="AD10" s="33">
        <v>657.01</v>
      </c>
      <c r="AE10" s="33">
        <v>0</v>
      </c>
      <c r="AF10" s="33">
        <f>AC10+AD10</f>
        <v>3343.7417180000002</v>
      </c>
      <c r="AG10" s="33">
        <f>AC10+AD10+AE10</f>
        <v>3343.7417180000002</v>
      </c>
      <c r="AH10" s="929">
        <f>((AF10-T10)/AF10)</f>
        <v>-2.1370174052420671E-2</v>
      </c>
      <c r="AI10" s="929">
        <f>((AG10-U10)/AG10)</f>
        <v>-2.2293989424693971E-2</v>
      </c>
      <c r="AJ10" s="92">
        <v>72.69</v>
      </c>
      <c r="AK10" s="92">
        <v>0.84030000000000005</v>
      </c>
      <c r="AL10" s="927">
        <v>0.05</v>
      </c>
      <c r="AM10" s="33">
        <f>3351.933*((1-AL10/100)*(AK10))</f>
        <v>2815.2209852500505</v>
      </c>
      <c r="AN10" s="33">
        <f>795.23+(3351.933*AJ10)/1000</f>
        <v>1038.88200977</v>
      </c>
      <c r="AO10" s="33">
        <f>3351.933*AL10/100</f>
        <v>1.6759665000000001</v>
      </c>
      <c r="AP10" s="925">
        <f>(AM10-V10)/AM10</f>
        <v>-5.670994056467258E-2</v>
      </c>
      <c r="AQ10" s="925">
        <f>(AN10-W10)/AN10</f>
        <v>5.2813514195078889E-2</v>
      </c>
      <c r="AR10" s="925">
        <f>(AO10-X10)/AO10</f>
        <v>-0.48033985166171261</v>
      </c>
      <c r="AS10" s="51"/>
    </row>
    <row r="11" spans="1:45" s="12" customFormat="1" x14ac:dyDescent="0.25">
      <c r="A11" s="57">
        <v>46132</v>
      </c>
      <c r="B11" s="61">
        <v>46132</v>
      </c>
      <c r="C11" s="61">
        <v>46133</v>
      </c>
      <c r="D11" s="33">
        <f t="shared" si="7"/>
        <v>24</v>
      </c>
      <c r="E11" s="33">
        <v>3376.6419999999998</v>
      </c>
      <c r="F11" s="33">
        <v>0</v>
      </c>
      <c r="G11" s="33">
        <v>3.0840000000000001</v>
      </c>
      <c r="H11" s="33">
        <f>E11</f>
        <v>3376.6419999999998</v>
      </c>
      <c r="I11" s="33">
        <f>H11+G11</f>
        <v>3379.7259999999997</v>
      </c>
      <c r="J11" s="33">
        <v>2969.2289999999998</v>
      </c>
      <c r="K11" s="33">
        <v>982.14800000000002</v>
      </c>
      <c r="L11" s="33">
        <v>2.4769999999999999</v>
      </c>
      <c r="M11" s="576">
        <v>1.0095000000000001</v>
      </c>
      <c r="N11" s="576">
        <v>1</v>
      </c>
      <c r="O11" s="576">
        <v>1</v>
      </c>
      <c r="P11" s="576">
        <v>1.0095000000000001</v>
      </c>
      <c r="Q11" s="33">
        <f>IF(E11="","",E11*'4-Fator_ReconciliaçãoK'!C35)</f>
        <v>3408.817197475661</v>
      </c>
      <c r="R11" s="33">
        <f>IF(F11="","",F11*'4-Fator_ReconciliaçãoK'!$C$26)</f>
        <v>0</v>
      </c>
      <c r="S11" s="33">
        <f>IF(G11="","",G11*'4-Fator_ReconciliaçãoK'!$C$27)</f>
        <v>3.0840000000000001</v>
      </c>
      <c r="T11" s="33">
        <f>H11*P11</f>
        <v>3408.7200990000001</v>
      </c>
      <c r="U11" s="33">
        <f>T11+S11</f>
        <v>3411.804099</v>
      </c>
      <c r="V11" s="33">
        <v>2969.2289999999998</v>
      </c>
      <c r="W11" s="33">
        <v>982.14800000000002</v>
      </c>
      <c r="X11" s="33">
        <v>2.4769999999999999</v>
      </c>
      <c r="Y11" s="33">
        <v>3346.36</v>
      </c>
      <c r="Z11" s="33">
        <v>48.66</v>
      </c>
      <c r="AA11" s="33">
        <v>86.49</v>
      </c>
      <c r="AB11" s="927">
        <f>AB10</f>
        <v>801.5333333333333</v>
      </c>
      <c r="AC11" s="33">
        <f>AB11/1000*Y11</f>
        <v>2682.2190853333332</v>
      </c>
      <c r="AD11" s="33">
        <v>657.30399999999997</v>
      </c>
      <c r="AE11" s="33">
        <v>0</v>
      </c>
      <c r="AF11" s="33">
        <f>AC11+AD11</f>
        <v>3339.5230853333333</v>
      </c>
      <c r="AG11" s="33">
        <f>AC11+AD11+AE11</f>
        <v>3339.5230853333333</v>
      </c>
      <c r="AH11" s="929">
        <f>((AF11-T11)/AF11)</f>
        <v>-2.0720627436465223E-2</v>
      </c>
      <c r="AI11" s="929">
        <f>((AG11-U11)/AG11)</f>
        <v>-2.1644112593236346E-2</v>
      </c>
      <c r="AJ11" s="92">
        <v>72.69</v>
      </c>
      <c r="AK11" s="92">
        <v>0.84030000000000005</v>
      </c>
      <c r="AL11" s="927">
        <v>0.05</v>
      </c>
      <c r="AM11" s="33">
        <f>3399.29*((1-AL11/100)*(AK11))</f>
        <v>2854.9951753065002</v>
      </c>
      <c r="AN11" s="33">
        <f>795.582+(3399.29*AJ11)/1000</f>
        <v>1042.6763900999999</v>
      </c>
      <c r="AO11" s="33">
        <f>3399.29*AL11/100</f>
        <v>1.6996450000000001</v>
      </c>
      <c r="AP11" s="925">
        <f>(AM11-V11)/AM11</f>
        <v>-4.0011915144912973E-2</v>
      </c>
      <c r="AQ11" s="925">
        <f>(AN11-W11)/AN11</f>
        <v>5.805098367499701E-2</v>
      </c>
      <c r="AR11" s="925">
        <f>(AO11-X11)/AO11</f>
        <v>-0.45736315524712501</v>
      </c>
      <c r="AS11" s="75"/>
    </row>
    <row r="12" spans="1:45" x14ac:dyDescent="0.25">
      <c r="A12" s="70"/>
      <c r="B12" s="52"/>
      <c r="C12" s="52"/>
      <c r="D12" s="50" t="str">
        <f t="shared" si="7"/>
        <v/>
      </c>
      <c r="E12" s="50"/>
      <c r="F12" s="50"/>
      <c r="G12" s="50"/>
      <c r="H12" s="33"/>
      <c r="I12" s="33"/>
      <c r="J12" s="75"/>
      <c r="K12" s="33"/>
      <c r="L12" s="33"/>
      <c r="M12" s="33"/>
      <c r="N12" s="33"/>
      <c r="O12" s="33"/>
      <c r="P12" s="33"/>
      <c r="Q12" s="50" t="str">
        <f>IF(E12="","",E12*'4-Fator_ReconciliaçãoK'!C37)</f>
        <v/>
      </c>
      <c r="R12" s="33" t="str">
        <f>IF(F12="","",F12*'4-Fator_ReconciliaçãoK'!$C$26)</f>
        <v/>
      </c>
      <c r="S12" s="33" t="str">
        <f>IF(G12="","",G12*'4-Fator_ReconciliaçãoK'!$C$27)</f>
        <v/>
      </c>
      <c r="T12" s="50"/>
      <c r="U12" s="50" t="str">
        <f t="shared" ref="U10:U13" si="8">IF(OR(Q12="",R12="",S12=""),"",Q12+R12+S12)</f>
        <v/>
      </c>
      <c r="V12" s="50"/>
      <c r="W12" s="50"/>
      <c r="X12" s="50"/>
      <c r="Y12" s="50"/>
      <c r="Z12" s="50"/>
      <c r="AA12" s="50"/>
      <c r="AB12" s="50"/>
      <c r="AC12" s="33"/>
      <c r="AD12" s="33"/>
      <c r="AE12" s="33"/>
      <c r="AF12" s="33"/>
      <c r="AG12" s="50"/>
      <c r="AH12" s="50" t="str">
        <f t="shared" ref="AH10:AH13" si="9">IF(AF12=0,"",(T12/AF12-1)*100)</f>
        <v/>
      </c>
      <c r="AI12" s="50" t="str">
        <f t="shared" ref="AI10:AI13" si="10">IF(AG12=0,"",(U12/AG12-1)*100)</f>
        <v/>
      </c>
      <c r="AJ12" s="50"/>
      <c r="AK12" s="50"/>
      <c r="AL12" s="50"/>
      <c r="AM12" s="50"/>
      <c r="AN12" s="50"/>
      <c r="AO12" s="50"/>
      <c r="AP12" s="77"/>
      <c r="AQ12" s="77"/>
      <c r="AR12" s="50"/>
      <c r="AS12" s="51"/>
    </row>
    <row r="13" spans="1:45" x14ac:dyDescent="0.25">
      <c r="A13" s="70"/>
      <c r="B13" s="52"/>
      <c r="C13" s="52"/>
      <c r="D13" s="50" t="str">
        <f t="shared" si="7"/>
        <v/>
      </c>
      <c r="E13" s="50"/>
      <c r="F13" s="50"/>
      <c r="G13" s="50"/>
      <c r="H13" s="33"/>
      <c r="I13" s="33"/>
      <c r="J13" s="75"/>
      <c r="K13" s="33"/>
      <c r="L13" s="33"/>
      <c r="M13" s="33"/>
      <c r="N13" s="33"/>
      <c r="O13" s="33"/>
      <c r="P13" s="33"/>
      <c r="Q13" s="50" t="str">
        <f>IF(E13="","",E13*'4-Fator_ReconciliaçãoK'!C38)</f>
        <v/>
      </c>
      <c r="R13" s="33" t="str">
        <f>IF(F13="","",F13*'4-Fator_ReconciliaçãoK'!$C$26)</f>
        <v/>
      </c>
      <c r="S13" s="33" t="str">
        <f>IF(G13="","",G13*'4-Fator_ReconciliaçãoK'!$C$27)</f>
        <v/>
      </c>
      <c r="T13" s="50"/>
      <c r="U13" s="50" t="str">
        <f t="shared" si="8"/>
        <v/>
      </c>
      <c r="V13" s="50"/>
      <c r="W13" s="50"/>
      <c r="X13" s="50"/>
      <c r="Y13" s="50"/>
      <c r="Z13" s="50"/>
      <c r="AA13" s="50"/>
      <c r="AB13" s="50"/>
      <c r="AC13" s="33"/>
      <c r="AD13" s="33"/>
      <c r="AE13" s="33"/>
      <c r="AF13" s="33"/>
      <c r="AG13" s="50"/>
      <c r="AH13" s="50" t="str">
        <f t="shared" si="9"/>
        <v/>
      </c>
      <c r="AI13" s="50" t="str">
        <f t="shared" si="10"/>
        <v/>
      </c>
      <c r="AJ13" s="50"/>
      <c r="AK13" s="50"/>
      <c r="AL13" s="50"/>
      <c r="AM13" s="50"/>
      <c r="AN13" s="50"/>
      <c r="AO13" s="50"/>
      <c r="AP13" s="77"/>
      <c r="AQ13" s="77"/>
      <c r="AR13" s="50"/>
      <c r="AS13" s="51"/>
    </row>
    <row r="14" spans="1:45" x14ac:dyDescent="0.25">
      <c r="A14" s="62"/>
      <c r="H14" s="582"/>
      <c r="I14" s="582"/>
    </row>
    <row r="15" spans="1:45" x14ac:dyDescent="0.25">
      <c r="A15" s="26">
        <v>46044</v>
      </c>
      <c r="T15" s="41"/>
      <c r="AN15">
        <v>8454.7000000000007</v>
      </c>
    </row>
    <row r="16" spans="1:45" x14ac:dyDescent="0.25">
      <c r="A16" s="63"/>
      <c r="G16" s="60"/>
      <c r="H16" s="60"/>
      <c r="I16" s="60"/>
      <c r="J16" s="60"/>
      <c r="K16" s="60"/>
      <c r="L16" s="60"/>
      <c r="N16" s="60"/>
      <c r="O16" s="60"/>
      <c r="P16" s="60"/>
      <c r="Q16" s="41"/>
      <c r="AI16" s="78"/>
    </row>
    <row r="17" spans="1:44" x14ac:dyDescent="0.25">
      <c r="A17" s="62"/>
      <c r="G17" s="60"/>
      <c r="H17" s="60"/>
      <c r="I17" s="60"/>
      <c r="J17" s="60"/>
      <c r="K17" s="60"/>
      <c r="L17" s="60"/>
      <c r="N17" s="60"/>
      <c r="O17" s="60"/>
      <c r="P17" s="60"/>
      <c r="Q17" s="41"/>
      <c r="AI17" s="41"/>
      <c r="AJ17" s="41"/>
      <c r="AK17" s="41"/>
      <c r="AL17" s="41"/>
      <c r="AM17" s="41"/>
      <c r="AN17" s="918"/>
      <c r="AO17" s="918"/>
      <c r="AP17" s="918"/>
      <c r="AQ17" s="41"/>
      <c r="AR17" s="41"/>
    </row>
    <row r="18" spans="1:44" x14ac:dyDescent="0.25">
      <c r="A18" s="62"/>
      <c r="AN18" s="713"/>
      <c r="AO18" s="713"/>
      <c r="AP18" s="713"/>
    </row>
    <row r="19" spans="1:44" x14ac:dyDescent="0.25">
      <c r="A19" s="71"/>
      <c r="AN19" s="713"/>
      <c r="AO19" s="713"/>
      <c r="AP19" s="713"/>
    </row>
    <row r="20" spans="1:44" x14ac:dyDescent="0.25">
      <c r="A20" s="62"/>
      <c r="Y20" s="30"/>
      <c r="Z20" s="30"/>
      <c r="AA20" s="30"/>
      <c r="AI20" s="41"/>
      <c r="AJ20" s="41"/>
      <c r="AK20" s="41"/>
      <c r="AL20" s="41"/>
      <c r="AM20" s="41"/>
      <c r="AN20" s="713"/>
      <c r="AO20" s="713"/>
      <c r="AP20" s="713"/>
      <c r="AQ20" s="41"/>
      <c r="AR20" s="41"/>
    </row>
    <row r="21" spans="1:44" x14ac:dyDescent="0.25">
      <c r="A21" s="62"/>
      <c r="AN21" s="713"/>
      <c r="AO21" s="713"/>
      <c r="AP21" s="713"/>
    </row>
    <row r="22" spans="1:44" x14ac:dyDescent="0.25">
      <c r="A22" s="62"/>
      <c r="AN22" s="713"/>
      <c r="AO22" s="713"/>
      <c r="AP22" s="713"/>
    </row>
    <row r="23" spans="1:44" x14ac:dyDescent="0.25">
      <c r="A23" s="62"/>
      <c r="AI23" s="41"/>
      <c r="AJ23" s="41"/>
      <c r="AK23" s="41"/>
      <c r="AL23" s="41"/>
      <c r="AM23" s="41"/>
      <c r="AN23" s="713"/>
      <c r="AO23" s="713"/>
      <c r="AP23" s="713"/>
      <c r="AQ23" s="41"/>
      <c r="AR23" s="41"/>
    </row>
    <row r="24" spans="1:44" x14ac:dyDescent="0.25">
      <c r="A24" s="62"/>
    </row>
    <row r="26" spans="1:44" x14ac:dyDescent="0.25">
      <c r="A26" s="62"/>
    </row>
  </sheetData>
  <mergeCells count="3">
    <mergeCell ref="A4:AS4"/>
    <mergeCell ref="A2:AS2"/>
    <mergeCell ref="B1:AS1"/>
  </mergeCells>
  <conditionalFormatting sqref="AH6:AI11">
    <cfRule type="expression" dxfId="11" priority="2">
      <formula>AND(ABS(AH6)&gt;#REF!,AH6&lt;&gt;"")</formula>
    </cfRule>
  </conditionalFormatting>
  <conditionalFormatting sqref="AH12:AJ13">
    <cfRule type="expression" dxfId="10" priority="22">
      <formula>AND(ABS(AH12)&gt;A14,AH12&lt;&gt;"")</formula>
    </cfRule>
  </conditionalFormatting>
  <conditionalFormatting sqref="AI16">
    <cfRule type="expression" dxfId="9" priority="50">
      <formula>AND(ABS(AI16)&gt;B17,AI16&lt;&gt;"")</formula>
    </cfRule>
  </conditionalFormatting>
  <conditionalFormatting sqref="AK12:AL13">
    <cfRule type="expression" dxfId="8" priority="19">
      <formula>AND(ABS(AK12)&gt;C14,AK12&lt;&gt;"")</formula>
    </cfRule>
  </conditionalFormatting>
  <conditionalFormatting sqref="AK6:AP6">
    <cfRule type="expression" dxfId="7" priority="13">
      <formula>AND(ABS(AK6)&gt;#REF!,AK6&lt;&gt;"")</formula>
    </cfRule>
  </conditionalFormatting>
  <conditionalFormatting sqref="AM10:AM11">
    <cfRule type="expression" dxfId="6" priority="15">
      <formula>AND(ABS(AM10)&gt;#REF!,AM10&lt;&gt;"")</formula>
    </cfRule>
  </conditionalFormatting>
  <conditionalFormatting sqref="AM12:AM13">
    <cfRule type="expression" dxfId="5" priority="34">
      <formula>AND(ABS(AM12)&gt;C14,AM12&lt;&gt;"")</formula>
    </cfRule>
  </conditionalFormatting>
  <conditionalFormatting sqref="AN12:AN13">
    <cfRule type="expression" dxfId="4" priority="32">
      <formula>AND(ABS(AN12)&gt;C14,AN12&lt;&gt;"")</formula>
    </cfRule>
  </conditionalFormatting>
  <conditionalFormatting sqref="AO12:AQ13">
    <cfRule type="expression" dxfId="3" priority="30">
      <formula>AND(ABS(AO12)&gt;C14,AO12&lt;&gt;"")</formula>
    </cfRule>
  </conditionalFormatting>
  <conditionalFormatting sqref="AQ6:AR8 AL7:AP8 AL9:AR9 AL10:AL11 AP10:AR11">
    <cfRule type="expression" dxfId="2" priority="9">
      <formula>AND(ABS(AL6)&gt;#REF!,AL6&lt;&gt;"")</formula>
    </cfRule>
  </conditionalFormatting>
  <conditionalFormatting sqref="AR12:AR13">
    <cfRule type="expression" dxfId="1" priority="38">
      <formula>AND(ABS(AR12)&gt;D14,AR12&lt;&gt;"")</formula>
    </cfRule>
  </conditionalFormatting>
  <conditionalFormatting sqref="AN10:AO11">
    <cfRule type="expression" dxfId="0" priority="51">
      <formula>AND(ABS(AN10)&gt;#REF!,AN10&lt;&gt;"")</formula>
    </cfRule>
  </conditionalFormatting>
  <pageMargins left="0.75" right="0.75" top="1" bottom="1" header="0.5" footer="0.5"/>
  <pageSetup orientation="portrait" r:id="rId1"/>
  <ignoredErrors>
    <ignoredError sqref="S8" 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3D76-CDD4-493C-9E18-CC49CC5DAE5E}">
  <sheetPr>
    <tabColor theme="9" tint="-0.249977111117893"/>
  </sheetPr>
  <dimension ref="A1:CS106"/>
  <sheetViews>
    <sheetView showGridLines="0" topLeftCell="A5" zoomScale="70" zoomScaleNormal="70" zoomScaleSheetLayoutView="70" zoomScalePageLayoutView="55" workbookViewId="0">
      <pane xSplit="2" ySplit="5" topLeftCell="L54" activePane="bottomRight" state="frozen"/>
      <selection pane="topRight" activeCell="C5" sqref="C5"/>
      <selection pane="bottomLeft" activeCell="A10" sqref="A10"/>
      <selection pane="bottomRight" activeCell="U60" sqref="U60"/>
    </sheetView>
  </sheetViews>
  <sheetFormatPr defaultColWidth="18.28515625" defaultRowHeight="15" outlineLevelCol="1" x14ac:dyDescent="0.25"/>
  <cols>
    <col min="1" max="1" width="32.140625" style="28" customWidth="1"/>
    <col min="2" max="2" width="21.85546875" style="28" hidden="1" customWidth="1"/>
    <col min="3" max="3" width="15.5703125" style="29" customWidth="1"/>
    <col min="4" max="4" width="12.85546875" style="29" customWidth="1"/>
    <col min="5" max="7" width="11.85546875" style="29" customWidth="1"/>
    <col min="8" max="16" width="15.42578125" style="29" customWidth="1"/>
    <col min="17" max="17" width="19.28515625" style="28" customWidth="1"/>
    <col min="18" max="18" width="20.5703125" style="28" customWidth="1"/>
    <col min="19" max="19" width="17.85546875" style="28" customWidth="1"/>
    <col min="20" max="20" width="17.5703125" style="28" customWidth="1"/>
    <col min="21" max="21" width="17.140625" style="28" customWidth="1"/>
    <col min="22" max="34" width="14.85546875" style="28" customWidth="1"/>
    <col min="35" max="35" width="6.28515625" style="28" customWidth="1"/>
    <col min="36" max="39" width="19.140625" style="28" customWidth="1"/>
    <col min="40" max="40" width="18.28515625" style="28" customWidth="1"/>
    <col min="41" max="41" width="18.28515625" style="28" hidden="1" customWidth="1"/>
    <col min="42" max="42" width="18.28515625" style="28" customWidth="1"/>
    <col min="43" max="45" width="18.42578125" style="28" customWidth="1"/>
    <col min="46" max="47" width="12.5703125" style="28" customWidth="1"/>
    <col min="48" max="50" width="14.140625" style="28" customWidth="1"/>
    <col min="51" max="55" width="15.7109375" style="28" customWidth="1" outlineLevel="1"/>
    <col min="56" max="56" width="20" style="28" customWidth="1" outlineLevel="1"/>
    <col min="57" max="57" width="15.7109375" style="28" customWidth="1" outlineLevel="1"/>
    <col min="58" max="62" width="15.7109375" style="28" customWidth="1"/>
    <col min="63" max="63" width="6.42578125" style="28" customWidth="1"/>
    <col min="64" max="64" width="14.5703125" style="28" hidden="1" customWidth="1"/>
    <col min="65" max="65" width="13.85546875" style="28" hidden="1" customWidth="1"/>
    <col min="66" max="66" width="13.140625" style="28" hidden="1" customWidth="1"/>
    <col min="67" max="69" width="14.5703125" style="28" hidden="1" customWidth="1"/>
    <col min="70" max="70" width="3.42578125" style="28" customWidth="1"/>
    <col min="71" max="71" width="3.5703125" style="28" customWidth="1"/>
    <col min="72" max="72" width="15" style="28" bestFit="1" customWidth="1"/>
    <col min="73" max="73" width="18.7109375" style="28" bestFit="1" customWidth="1"/>
    <col min="74" max="74" width="18.85546875" style="28" bestFit="1" customWidth="1"/>
    <col min="75" max="75" width="17.85546875" style="28" bestFit="1" customWidth="1"/>
    <col min="76" max="76" width="20.140625" style="28" bestFit="1" customWidth="1"/>
    <col min="77" max="77" width="19.28515625" style="28" bestFit="1" customWidth="1"/>
    <col min="78" max="78" width="17.7109375" style="28" bestFit="1" customWidth="1"/>
    <col min="79" max="79" width="16.7109375" style="28" hidden="1" customWidth="1"/>
    <col min="80" max="80" width="18.140625" style="28" bestFit="1" customWidth="1"/>
    <col min="81" max="81" width="19.140625" style="28" hidden="1" customWidth="1"/>
    <col min="82" max="82" width="12.5703125" style="28" customWidth="1"/>
    <col min="83" max="83" width="11.28515625" style="28" bestFit="1" customWidth="1"/>
    <col min="84" max="84" width="2.85546875" style="28" customWidth="1"/>
    <col min="85" max="85" width="19.28515625" style="28" hidden="1" customWidth="1"/>
    <col min="86" max="86" width="18.5703125" style="28" hidden="1" customWidth="1"/>
    <col min="87" max="87" width="20" style="28" hidden="1" customWidth="1"/>
    <col min="88" max="88" width="17.28515625" style="28" hidden="1" customWidth="1"/>
    <col min="89" max="89" width="16.7109375" style="28" hidden="1" customWidth="1"/>
    <col min="90" max="90" width="13.85546875" style="28" hidden="1" customWidth="1"/>
    <col min="91" max="91" width="13" style="28" hidden="1" customWidth="1"/>
    <col min="92" max="92" width="17.7109375" style="28" hidden="1" customWidth="1"/>
    <col min="93" max="93" width="14.85546875" style="28" hidden="1" customWidth="1"/>
    <col min="94" max="94" width="17.42578125" style="28" hidden="1" customWidth="1"/>
    <col min="95" max="95" width="16.7109375" style="28" hidden="1" customWidth="1"/>
    <col min="96" max="96" width="9.140625" style="28" hidden="1" customWidth="1"/>
    <col min="97" max="97" width="19.42578125" style="28" customWidth="1"/>
    <col min="98" max="16384" width="18.28515625" style="28"/>
  </cols>
  <sheetData>
    <row r="1" spans="1:96" ht="54" customHeight="1" x14ac:dyDescent="0.25">
      <c r="A1" s="89"/>
      <c r="B1" s="89"/>
      <c r="C1" s="772" t="s">
        <v>79</v>
      </c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772"/>
      <c r="W1" s="772"/>
      <c r="X1" s="772"/>
      <c r="Y1" s="772"/>
      <c r="Z1" s="772"/>
      <c r="AA1" s="772"/>
      <c r="AB1" s="772"/>
      <c r="AC1" s="772"/>
      <c r="AD1" s="772"/>
      <c r="AE1" s="772"/>
      <c r="AF1" s="772"/>
      <c r="AG1" s="772"/>
      <c r="AH1" s="772"/>
      <c r="AI1" s="772"/>
      <c r="AJ1" s="772"/>
      <c r="AK1" s="772"/>
      <c r="AL1" s="772"/>
      <c r="AM1" s="772"/>
      <c r="AN1" s="772"/>
      <c r="AO1" s="772"/>
      <c r="AP1" s="772"/>
      <c r="AQ1" s="772"/>
      <c r="AR1" s="772"/>
      <c r="AS1" s="772"/>
      <c r="AT1" s="772"/>
      <c r="AU1" s="772"/>
      <c r="AV1" s="772"/>
      <c r="AW1" s="772"/>
      <c r="AX1" s="772"/>
      <c r="AY1" s="772"/>
      <c r="AZ1" s="772"/>
      <c r="BA1" s="327"/>
      <c r="BB1" s="327"/>
      <c r="BC1" s="772"/>
      <c r="BD1" s="772"/>
      <c r="BE1" s="772"/>
      <c r="BF1" s="772"/>
      <c r="BG1" s="327"/>
      <c r="BH1" s="327"/>
      <c r="BI1" s="772"/>
      <c r="BJ1" s="772"/>
      <c r="BK1" s="772"/>
      <c r="BL1" s="772"/>
      <c r="BM1" s="772"/>
      <c r="BN1" s="772"/>
      <c r="BO1" s="772"/>
      <c r="BP1" s="772"/>
      <c r="BQ1" s="772"/>
      <c r="BR1" s="772"/>
      <c r="BS1" s="772"/>
      <c r="BT1" s="772"/>
      <c r="BU1" s="772"/>
      <c r="BV1" s="772"/>
      <c r="BW1" s="772"/>
      <c r="BX1" s="772"/>
      <c r="BY1" s="772"/>
      <c r="BZ1" s="772"/>
      <c r="CA1" s="772"/>
      <c r="CB1" s="772"/>
      <c r="CC1" s="772"/>
      <c r="CD1" s="772"/>
      <c r="CE1" s="772"/>
      <c r="CF1" s="772"/>
      <c r="CG1" s="772" t="s">
        <v>79</v>
      </c>
      <c r="CH1" s="772"/>
      <c r="CI1" s="772"/>
      <c r="CJ1" s="772" t="s">
        <v>79</v>
      </c>
      <c r="CK1" s="772"/>
      <c r="CL1" s="772"/>
      <c r="CM1" s="772" t="s">
        <v>79</v>
      </c>
      <c r="CN1" s="772"/>
      <c r="CO1" s="772"/>
      <c r="CP1" s="772" t="s">
        <v>79</v>
      </c>
      <c r="CQ1" s="772"/>
      <c r="CR1" s="772"/>
    </row>
    <row r="2" spans="1:96" ht="30.75" customHeight="1" x14ac:dyDescent="0.35">
      <c r="A2" s="889" t="s">
        <v>588</v>
      </c>
      <c r="B2" s="889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  <c r="O2" s="890"/>
      <c r="P2" s="890"/>
      <c r="Q2" s="890"/>
      <c r="R2" s="890"/>
      <c r="S2" s="890"/>
      <c r="T2" s="890"/>
      <c r="U2" s="890"/>
      <c r="V2" s="890"/>
      <c r="W2" s="890"/>
      <c r="X2" s="890"/>
      <c r="Y2" s="890"/>
      <c r="Z2" s="890"/>
      <c r="AA2" s="890"/>
      <c r="AB2" s="890"/>
      <c r="AC2" s="890"/>
      <c r="AD2" s="890"/>
      <c r="AE2" s="890"/>
      <c r="AF2" s="890"/>
      <c r="AG2" s="890"/>
      <c r="AH2" s="890"/>
      <c r="AI2" s="890"/>
      <c r="AJ2" s="890"/>
      <c r="AK2" s="890"/>
      <c r="AL2" s="890"/>
      <c r="AM2" s="890"/>
      <c r="AN2" s="890"/>
      <c r="AO2" s="890"/>
      <c r="AP2" s="890"/>
      <c r="AQ2" s="890"/>
      <c r="AR2" s="890"/>
      <c r="AS2" s="890"/>
      <c r="AT2" s="890"/>
      <c r="AU2" s="890"/>
      <c r="AV2" s="890"/>
      <c r="AW2" s="890"/>
      <c r="AX2" s="890"/>
      <c r="AY2" s="890"/>
      <c r="AZ2" s="890"/>
      <c r="BA2" s="890"/>
      <c r="BB2" s="890"/>
      <c r="BC2" s="890"/>
      <c r="BD2" s="890"/>
      <c r="BE2" s="890"/>
      <c r="BF2" s="890"/>
      <c r="BG2" s="890"/>
      <c r="BH2" s="890"/>
      <c r="BI2" s="890"/>
      <c r="BJ2" s="890"/>
      <c r="BK2" s="890"/>
      <c r="BL2" s="890"/>
      <c r="BM2" s="890"/>
      <c r="BN2" s="890"/>
      <c r="BO2" s="890"/>
      <c r="BP2" s="890"/>
      <c r="BQ2" s="890"/>
      <c r="BR2" s="890"/>
      <c r="BS2" s="890"/>
      <c r="BT2" s="890"/>
      <c r="BU2" s="890"/>
      <c r="BV2" s="890"/>
      <c r="BW2" s="890"/>
      <c r="BX2" s="890"/>
      <c r="BY2" s="890"/>
      <c r="BZ2" s="890"/>
      <c r="CA2" s="890"/>
      <c r="CB2" s="890"/>
      <c r="CC2" s="890"/>
      <c r="CD2" s="890"/>
      <c r="CE2" s="890"/>
      <c r="CF2" s="890"/>
      <c r="CG2" s="890"/>
      <c r="CH2" s="890"/>
      <c r="CI2" s="890"/>
      <c r="CJ2" s="890"/>
      <c r="CK2" s="890"/>
      <c r="CL2" s="890"/>
      <c r="CM2" s="890"/>
      <c r="CN2" s="890"/>
      <c r="CO2" s="890"/>
      <c r="CP2" s="890"/>
      <c r="CQ2" s="890"/>
      <c r="CR2" s="890"/>
    </row>
    <row r="3" spans="1:96" ht="15.75" thickBot="1" x14ac:dyDescent="0.3"/>
    <row r="4" spans="1:96" ht="15.75" thickBot="1" x14ac:dyDescent="0.3">
      <c r="A4" s="824" t="s">
        <v>327</v>
      </c>
      <c r="B4" s="825"/>
      <c r="C4" s="825"/>
      <c r="D4" s="825"/>
      <c r="E4" s="825"/>
      <c r="F4" s="825"/>
      <c r="G4" s="825"/>
      <c r="H4" s="825"/>
      <c r="I4" s="825"/>
      <c r="J4" s="825"/>
      <c r="K4" s="825"/>
      <c r="L4" s="826"/>
      <c r="M4" s="825"/>
      <c r="N4" s="827"/>
    </row>
    <row r="5" spans="1:96" ht="45.75" customHeight="1" x14ac:dyDescent="0.25">
      <c r="A5" s="831" t="s">
        <v>328</v>
      </c>
      <c r="B5" s="832"/>
      <c r="C5" s="832"/>
      <c r="D5" s="832"/>
      <c r="E5" s="832"/>
      <c r="F5" s="833"/>
      <c r="G5" s="828" t="s">
        <v>329</v>
      </c>
      <c r="H5" s="828"/>
      <c r="I5" s="828"/>
      <c r="J5" s="835" t="s">
        <v>330</v>
      </c>
      <c r="K5" s="837"/>
      <c r="L5" s="326" t="s">
        <v>331</v>
      </c>
      <c r="M5" s="829" t="s">
        <v>332</v>
      </c>
      <c r="N5" s="830"/>
    </row>
    <row r="6" spans="1:96" x14ac:dyDescent="0.25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</row>
    <row r="7" spans="1:96" s="118" customFormat="1" ht="30" customHeight="1" thickBot="1" x14ac:dyDescent="0.3">
      <c r="A7" s="834"/>
      <c r="B7" s="834"/>
      <c r="D7" s="510" t="s">
        <v>333</v>
      </c>
      <c r="E7" s="119" t="s">
        <v>334</v>
      </c>
      <c r="F7" s="119" t="s">
        <v>335</v>
      </c>
      <c r="G7" s="119" t="s">
        <v>336</v>
      </c>
      <c r="H7" s="119" t="s">
        <v>337</v>
      </c>
      <c r="I7" s="119" t="s">
        <v>337</v>
      </c>
      <c r="J7" s="119" t="s">
        <v>337</v>
      </c>
      <c r="K7" s="119" t="s">
        <v>339</v>
      </c>
      <c r="L7" s="119" t="s">
        <v>339</v>
      </c>
      <c r="M7" s="119"/>
      <c r="N7" s="119"/>
      <c r="O7" s="119"/>
      <c r="P7" s="119"/>
      <c r="Q7" s="119"/>
      <c r="R7" s="119"/>
      <c r="S7" s="119"/>
      <c r="T7" s="119" t="s">
        <v>339</v>
      </c>
      <c r="U7" s="119" t="s">
        <v>339</v>
      </c>
      <c r="V7" s="119"/>
      <c r="W7" s="119"/>
      <c r="X7" s="119"/>
      <c r="Y7" s="119"/>
      <c r="Z7" s="119"/>
      <c r="AA7" s="119" t="s">
        <v>337</v>
      </c>
      <c r="AB7" s="119" t="s">
        <v>337</v>
      </c>
      <c r="AC7" s="119" t="s">
        <v>337</v>
      </c>
      <c r="AD7" s="119"/>
      <c r="AE7" s="119"/>
      <c r="AF7" s="119" t="s">
        <v>337</v>
      </c>
      <c r="AG7" s="119" t="s">
        <v>337</v>
      </c>
      <c r="AH7" s="119" t="s">
        <v>337</v>
      </c>
      <c r="AI7" s="119"/>
      <c r="AL7" s="119"/>
      <c r="AM7" s="120"/>
      <c r="AN7" s="119"/>
      <c r="AO7" s="119"/>
      <c r="AP7" s="119"/>
      <c r="AQ7" s="119"/>
      <c r="AR7" s="119"/>
      <c r="AS7" s="119"/>
      <c r="AT7" s="923"/>
      <c r="AU7" s="119"/>
      <c r="AV7" s="119"/>
      <c r="AW7" s="119"/>
      <c r="AX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</row>
    <row r="8" spans="1:96" s="118" customFormat="1" ht="32.25" customHeight="1" thickBot="1" x14ac:dyDescent="0.3">
      <c r="A8" s="117"/>
      <c r="B8" s="823"/>
      <c r="C8" s="823"/>
      <c r="D8" s="820" t="s">
        <v>340</v>
      </c>
      <c r="E8" s="821"/>
      <c r="F8" s="821"/>
      <c r="G8" s="821"/>
      <c r="H8" s="821"/>
      <c r="I8" s="821"/>
      <c r="J8" s="821"/>
      <c r="K8" s="821"/>
      <c r="L8" s="822"/>
      <c r="M8" s="820" t="s">
        <v>341</v>
      </c>
      <c r="N8" s="821"/>
      <c r="O8" s="821"/>
      <c r="P8" s="822"/>
      <c r="Q8" s="888" t="s">
        <v>593</v>
      </c>
      <c r="R8" s="848"/>
      <c r="S8" s="848"/>
      <c r="T8" s="848"/>
      <c r="U8" s="849"/>
      <c r="V8" s="162"/>
      <c r="W8" s="162"/>
      <c r="X8" s="162"/>
      <c r="Y8" s="162"/>
      <c r="Z8" s="162"/>
      <c r="AA8" s="820" t="s">
        <v>343</v>
      </c>
      <c r="AB8" s="821"/>
      <c r="AC8" s="821"/>
      <c r="AD8" s="821"/>
      <c r="AE8" s="821"/>
      <c r="AF8" s="821"/>
      <c r="AG8" s="821"/>
      <c r="AH8" s="822"/>
      <c r="AI8" s="119"/>
      <c r="AJ8" s="859" t="s">
        <v>344</v>
      </c>
      <c r="AK8" s="860"/>
      <c r="AL8" s="860"/>
      <c r="AM8" s="860"/>
      <c r="AN8" s="860"/>
      <c r="AO8" s="860"/>
      <c r="AP8" s="860"/>
      <c r="AQ8" s="860"/>
      <c r="AR8" s="860"/>
      <c r="AS8" s="860"/>
      <c r="AT8" s="860"/>
      <c r="AU8" s="861"/>
      <c r="AV8" s="859" t="s">
        <v>345</v>
      </c>
      <c r="AW8" s="860"/>
      <c r="AX8" s="860"/>
      <c r="AY8" s="855" t="s">
        <v>343</v>
      </c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8"/>
      <c r="BK8" s="144"/>
      <c r="BL8" s="850" t="s">
        <v>346</v>
      </c>
      <c r="BM8" s="851"/>
      <c r="BN8" s="851"/>
      <c r="BO8" s="851"/>
      <c r="BP8" s="851"/>
      <c r="BQ8" s="852"/>
      <c r="BR8" s="144"/>
      <c r="BS8" s="144"/>
      <c r="BT8" s="796" t="s">
        <v>347</v>
      </c>
      <c r="BU8" s="797"/>
      <c r="BV8" s="797"/>
      <c r="BW8" s="797"/>
      <c r="BX8" s="797"/>
      <c r="BY8" s="798"/>
      <c r="BZ8" s="853" t="s">
        <v>348</v>
      </c>
      <c r="CA8" s="853"/>
      <c r="CB8" s="853"/>
      <c r="CC8" s="853"/>
      <c r="CD8" s="853"/>
      <c r="CE8" s="854"/>
    </row>
    <row r="9" spans="1:96" ht="115.5" customHeight="1" thickBot="1" x14ac:dyDescent="0.3">
      <c r="A9" s="121" t="s">
        <v>349</v>
      </c>
      <c r="B9" s="122" t="s">
        <v>350</v>
      </c>
      <c r="C9" s="208" t="s">
        <v>351</v>
      </c>
      <c r="D9" s="257" t="s">
        <v>352</v>
      </c>
      <c r="E9" s="257" t="s">
        <v>353</v>
      </c>
      <c r="F9" s="257" t="s">
        <v>354</v>
      </c>
      <c r="G9" s="257" t="s">
        <v>355</v>
      </c>
      <c r="H9" s="121" t="s">
        <v>356</v>
      </c>
      <c r="I9" s="122" t="s">
        <v>357</v>
      </c>
      <c r="J9" s="122" t="s">
        <v>358</v>
      </c>
      <c r="K9" s="122" t="s">
        <v>360</v>
      </c>
      <c r="L9" s="574" t="s">
        <v>361</v>
      </c>
      <c r="M9" s="401" t="s">
        <v>362</v>
      </c>
      <c r="N9" s="402" t="s">
        <v>363</v>
      </c>
      <c r="O9" s="402" t="s">
        <v>364</v>
      </c>
      <c r="P9" s="912" t="s">
        <v>365</v>
      </c>
      <c r="Q9" s="911" t="s">
        <v>595</v>
      </c>
      <c r="R9" s="574" t="s">
        <v>596</v>
      </c>
      <c r="S9" s="574" t="s">
        <v>597</v>
      </c>
      <c r="T9" s="574" t="s">
        <v>598</v>
      </c>
      <c r="U9" s="574" t="s">
        <v>599</v>
      </c>
      <c r="V9" s="525" t="s">
        <v>371</v>
      </c>
      <c r="W9" s="521" t="s">
        <v>372</v>
      </c>
      <c r="X9" s="522" t="s">
        <v>373</v>
      </c>
      <c r="Y9" s="521" t="s">
        <v>374</v>
      </c>
      <c r="Z9" s="907" t="s">
        <v>375</v>
      </c>
      <c r="AA9" s="212" t="s">
        <v>376</v>
      </c>
      <c r="AB9" s="521" t="s">
        <v>377</v>
      </c>
      <c r="AC9" s="248" t="s">
        <v>378</v>
      </c>
      <c r="AD9" s="247" t="s">
        <v>379</v>
      </c>
      <c r="AE9" s="248" t="s">
        <v>380</v>
      </c>
      <c r="AF9" s="525" t="s">
        <v>381</v>
      </c>
      <c r="AG9" s="213" t="s">
        <v>382</v>
      </c>
      <c r="AH9" s="214" t="s">
        <v>383</v>
      </c>
      <c r="AJ9" s="131" t="s">
        <v>384</v>
      </c>
      <c r="AK9" s="132" t="s">
        <v>385</v>
      </c>
      <c r="AL9" s="131" t="s">
        <v>386</v>
      </c>
      <c r="AM9" s="133" t="s">
        <v>600</v>
      </c>
      <c r="AN9" s="134" t="s">
        <v>388</v>
      </c>
      <c r="AO9" s="734" t="s">
        <v>601</v>
      </c>
      <c r="AP9" s="133" t="s">
        <v>390</v>
      </c>
      <c r="AQ9" s="133" t="s">
        <v>391</v>
      </c>
      <c r="AR9" s="133" t="s">
        <v>392</v>
      </c>
      <c r="AS9" s="134" t="s">
        <v>393</v>
      </c>
      <c r="AT9" s="131" t="s">
        <v>394</v>
      </c>
      <c r="AU9" s="132" t="s">
        <v>395</v>
      </c>
      <c r="AV9" s="583" t="s">
        <v>396</v>
      </c>
      <c r="AW9" s="584" t="s">
        <v>397</v>
      </c>
      <c r="AX9" s="584" t="s">
        <v>398</v>
      </c>
      <c r="AY9" s="588" t="s">
        <v>399</v>
      </c>
      <c r="AZ9" s="916" t="s">
        <v>400</v>
      </c>
      <c r="BA9" s="585" t="s">
        <v>401</v>
      </c>
      <c r="BB9" s="585" t="s">
        <v>402</v>
      </c>
      <c r="BC9" s="585" t="s">
        <v>403</v>
      </c>
      <c r="BD9" s="916" t="s">
        <v>404</v>
      </c>
      <c r="BE9" s="585" t="s">
        <v>405</v>
      </c>
      <c r="BF9" s="585" t="s">
        <v>406</v>
      </c>
      <c r="BG9" s="919" t="s">
        <v>407</v>
      </c>
      <c r="BH9" s="585" t="s">
        <v>602</v>
      </c>
      <c r="BI9" s="587" t="s">
        <v>409</v>
      </c>
      <c r="BJ9" s="172" t="s">
        <v>410</v>
      </c>
      <c r="BK9" s="146"/>
      <c r="BL9" s="138" t="s">
        <v>411</v>
      </c>
      <c r="BM9" s="139" t="s">
        <v>412</v>
      </c>
      <c r="BN9" s="140" t="s">
        <v>413</v>
      </c>
      <c r="BO9" s="138" t="s">
        <v>414</v>
      </c>
      <c r="BP9" s="139" t="s">
        <v>415</v>
      </c>
      <c r="BQ9" s="140" t="s">
        <v>416</v>
      </c>
      <c r="BR9" s="146"/>
      <c r="BS9" s="146"/>
      <c r="BT9" s="756" t="s">
        <v>417</v>
      </c>
      <c r="BU9" s="757" t="s">
        <v>418</v>
      </c>
      <c r="BV9" s="757" t="s">
        <v>419</v>
      </c>
      <c r="BW9" s="757" t="s">
        <v>420</v>
      </c>
      <c r="BX9" s="757" t="s">
        <v>421</v>
      </c>
      <c r="BY9" s="758" t="s">
        <v>422</v>
      </c>
      <c r="BZ9" s="161" t="s">
        <v>394</v>
      </c>
      <c r="CA9" s="159" t="s">
        <v>423</v>
      </c>
      <c r="CB9" s="159" t="s">
        <v>424</v>
      </c>
      <c r="CC9" s="168" t="s">
        <v>425</v>
      </c>
      <c r="CD9" s="161" t="s">
        <v>426</v>
      </c>
      <c r="CE9" s="160" t="s">
        <v>427</v>
      </c>
      <c r="CG9" s="85" t="s">
        <v>428</v>
      </c>
      <c r="CH9" s="83" t="s">
        <v>429</v>
      </c>
      <c r="CI9" s="83" t="s">
        <v>430</v>
      </c>
      <c r="CJ9" s="83" t="s">
        <v>431</v>
      </c>
      <c r="CK9" s="84" t="s">
        <v>432</v>
      </c>
      <c r="CL9" s="82" t="s">
        <v>433</v>
      </c>
      <c r="CM9" s="83" t="s">
        <v>434</v>
      </c>
      <c r="CN9" s="83" t="s">
        <v>435</v>
      </c>
      <c r="CO9" s="83" t="s">
        <v>436</v>
      </c>
      <c r="CP9" s="83" t="s">
        <v>437</v>
      </c>
      <c r="CQ9" s="83" t="s">
        <v>438</v>
      </c>
      <c r="CR9" s="84" t="s">
        <v>5</v>
      </c>
    </row>
    <row r="10" spans="1:96" ht="24.75" customHeight="1" x14ac:dyDescent="0.25">
      <c r="A10" s="142">
        <v>46130.333333333336</v>
      </c>
      <c r="B10" s="142">
        <v>46130.375</v>
      </c>
      <c r="C10" s="90">
        <f t="shared" ref="C10:C33" si="0">IF(B10="","",IF(A10="","",(B10-A10)*24))</f>
        <v>0.99999999994179234</v>
      </c>
      <c r="D10" s="258" cm="1">
        <f t="array" ref="D10">_xll.PITimeDat('5.1 TotalHorario_Acomp18&amp;19_04'!$D$7,B10,"","interpolated")</f>
        <v>453.94089972264396</v>
      </c>
      <c r="E10" s="674" cm="1">
        <f t="array" ref="E10">_xll.PITimeDat('5.1 TotalHorario_Acomp18&amp;19_04'!$E$7,'5.1 TotalHorario_Acomp18&amp;19_04'!$A$10,"","interpolated")</f>
        <v>5.0040551236078382E-2</v>
      </c>
      <c r="F10" s="674" cm="1">
        <f t="array" ref="F10">_xll.PITimeDat('5.1 TotalHorario_Acomp18&amp;19_04'!$F$7,'5.1 TotalHorario_Acomp18&amp;19_04'!$A$10,"","interpolated")</f>
        <v>5.0040551236078382E-2</v>
      </c>
      <c r="G10" s="258" cm="1">
        <f t="array" ref="G10">_xll.PITimeDat('5.1 TotalHorario_Acomp18&amp;19_04'!$G$7,'5.1 TotalHorario_Acomp18&amp;19_04'!$A$10,"","interpolated")</f>
        <v>6.5815623355907231</v>
      </c>
      <c r="H10" s="669">
        <f>'MPFM_Horario_18&amp;19_04'!O2</f>
        <v>141.322</v>
      </c>
      <c r="I10" s="572">
        <f>'MPFM_Horario_18&amp;19_04'!P2</f>
        <v>0</v>
      </c>
      <c r="J10" s="572">
        <f>'MPFM_Horario_18&amp;19_04'!Q2</f>
        <v>0.129</v>
      </c>
      <c r="K10" s="572">
        <f>'MPFM_Horario_18&amp;19_04'!R2</f>
        <v>141.322</v>
      </c>
      <c r="L10" s="573">
        <f>'MPFM_Horario_18&amp;19_04'!S2</f>
        <v>141.45099999999999</v>
      </c>
      <c r="M10" s="670">
        <v>1.00953293661294</v>
      </c>
      <c r="N10" s="235">
        <v>1</v>
      </c>
      <c r="O10" s="235">
        <v>1</v>
      </c>
      <c r="P10" s="673">
        <v>1.00953293661294</v>
      </c>
      <c r="Q10" s="905">
        <f>H10*M10</f>
        <v>142.6692136680139</v>
      </c>
      <c r="R10" s="572">
        <f>I10*N10</f>
        <v>0</v>
      </c>
      <c r="S10" s="573">
        <f>J10*O10</f>
        <v>0.129</v>
      </c>
      <c r="T10" s="906">
        <f>K10*P10</f>
        <v>142.6692136680139</v>
      </c>
      <c r="U10" s="573">
        <f>Q10+R10+S10</f>
        <v>142.79821366801389</v>
      </c>
      <c r="V10" s="394">
        <f>'MPFM_Horario_18&amp;19_04'!AS2</f>
        <v>611.21</v>
      </c>
      <c r="W10" s="239">
        <f>'MPFM_Horario_18&amp;19_04'!AT2</f>
        <v>75.8</v>
      </c>
      <c r="X10" s="237">
        <f>'MPFM_Horario_18&amp;19_04'!AU2</f>
        <v>633.83000000000004</v>
      </c>
      <c r="Y10" s="237">
        <f>'MPFM_Horario_18&amp;19_04'!AV2</f>
        <v>574.62</v>
      </c>
      <c r="Z10" s="238">
        <f>'MPFM_Horario_18&amp;19_04'!AW2</f>
        <v>1142.54</v>
      </c>
      <c r="AA10" s="234">
        <f>'MPFM_Horario_18&amp;19_04'!AI2</f>
        <v>106.864</v>
      </c>
      <c r="AB10" s="237">
        <f>'MPFM_Horario_18&amp;19_04'!AJ2</f>
        <v>35.801000000000002</v>
      </c>
      <c r="AC10" s="524">
        <f>'MPFM_Horario_18&amp;19_04'!AK2</f>
        <v>0.129</v>
      </c>
      <c r="AD10" s="242">
        <f>AA10+AB10</f>
        <v>142.66500000000002</v>
      </c>
      <c r="AE10" s="250">
        <f>AA10+AB10+AC10</f>
        <v>142.79400000000001</v>
      </c>
      <c r="AF10" s="243">
        <f>'MPFM_Horario_18&amp;19_04'!AN2</f>
        <v>124.27</v>
      </c>
      <c r="AG10" s="243">
        <f>'MPFM_Horario_18&amp;19_04'!AO2/1000</f>
        <v>41.106000000000002</v>
      </c>
      <c r="AH10" s="249">
        <f>'MPFM_Horario_18&amp;19_04'!AP2</f>
        <v>0.104</v>
      </c>
      <c r="AI10" s="109"/>
      <c r="AJ10" s="91">
        <f>'SEP_18&amp;19_04_OLEO'!E3</f>
        <v>45.92</v>
      </c>
      <c r="AK10" s="94">
        <f>'SEP_18&amp;19_04_OLEO'!D3</f>
        <v>86.489009999999993</v>
      </c>
      <c r="AL10" s="91">
        <v>142.364</v>
      </c>
      <c r="AM10" s="167">
        <f>Q55</f>
        <v>802</v>
      </c>
      <c r="AN10" s="93">
        <f>AL10*AM10/1000</f>
        <v>114.175928</v>
      </c>
      <c r="AO10" s="735">
        <f>(AL10*795.59)/1000</f>
        <v>113.26337476</v>
      </c>
      <c r="AP10" s="92">
        <f>'SEP_18&amp;19_04_GAS'!I4</f>
        <v>27.631799999999998</v>
      </c>
      <c r="AQ10" s="92">
        <f>'SEP_18&amp;19_04_AGUA'!J4</f>
        <v>0</v>
      </c>
      <c r="AR10" s="92">
        <f>AN10+AP10</f>
        <v>141.807728</v>
      </c>
      <c r="AS10" s="93">
        <f>AN10+AP10+AQ10</f>
        <v>141.807728</v>
      </c>
      <c r="AT10" s="281">
        <f>((AR10-T10)/AR10)*100</f>
        <v>-0.60750262356216467</v>
      </c>
      <c r="AU10" s="281">
        <f>((AS10-U10)/AS10)*100</f>
        <v>-0.69847086754953802</v>
      </c>
      <c r="AV10" s="145">
        <v>72.69</v>
      </c>
      <c r="AW10" s="92">
        <v>0.84030000000000005</v>
      </c>
      <c r="AX10" s="93">
        <f>P55</f>
        <v>0.05</v>
      </c>
      <c r="AY10" s="545">
        <f>'SEP_18&amp;19_04_OLEO'!J3*(1-AX10/100)</f>
        <v>140.2388455</v>
      </c>
      <c r="AZ10" s="153">
        <f>AY10*AW10</f>
        <v>117.84270187365</v>
      </c>
      <c r="BA10" s="727">
        <f>R55</f>
        <v>860.1</v>
      </c>
      <c r="BB10" s="153">
        <f>AZ10*BA10/1000</f>
        <v>101.35650788152637</v>
      </c>
      <c r="BC10" s="544">
        <f>AZ10*AV10</f>
        <v>8565.9859991956182</v>
      </c>
      <c r="BD10" s="153">
        <f>('SEP_18&amp;19_04_GAS'!H4+BC10)/1000</f>
        <v>42.010685999195616</v>
      </c>
      <c r="BE10" s="153">
        <f>(BD10*78.12)/100</f>
        <v>32.818747902571616</v>
      </c>
      <c r="BF10" s="386">
        <f>'SEP_18&amp;19_04_OLEO'!J3*(AX10/100)</f>
        <v>7.0154499999999995E-2</v>
      </c>
      <c r="BG10" s="153">
        <f>'SEP_18&amp;19_04_AGUA'!K4+'5.1 TotalHorario_Acomp18&amp;19_04'!BF10</f>
        <v>7.0154499999999995E-2</v>
      </c>
      <c r="BH10" s="589">
        <f>(BG10*0)/1000</f>
        <v>0</v>
      </c>
      <c r="BI10" s="548">
        <f>BB10+BE10</f>
        <v>134.175255784098</v>
      </c>
      <c r="BJ10" s="546">
        <f>BI10+BH10</f>
        <v>134.175255784098</v>
      </c>
      <c r="BK10" s="111"/>
      <c r="BL10" s="176">
        <f>IF(AN10=0,"",(Q10/AN10-1))</f>
        <v>0.24955598055672379</v>
      </c>
      <c r="BM10" s="177" t="e">
        <f>(AB10-#REF!)/#REF!</f>
        <v>#REF!</v>
      </c>
      <c r="BN10" s="177" t="e">
        <f>(AC10-BH10)/BH10</f>
        <v>#DIV/0!</v>
      </c>
      <c r="BO10" s="176">
        <f>(AF10-AZ10)/AZ10</f>
        <v>5.4541333694481081E-2</v>
      </c>
      <c r="BP10" s="177">
        <f>(AG10-BD10)/BD10</f>
        <v>-2.1534663804655227E-2</v>
      </c>
      <c r="BQ10" s="178">
        <f>(AH10-BG10)/BG10</f>
        <v>0.4824423237283425</v>
      </c>
      <c r="BR10" s="111"/>
      <c r="BS10" s="111"/>
      <c r="BT10" s="91">
        <f>((AN10-Q10)/AN10)*100</f>
        <v>-24.955598055672382</v>
      </c>
      <c r="BU10" s="761">
        <f>AN10-AA10</f>
        <v>7.3119279999999947</v>
      </c>
      <c r="BV10" s="91">
        <f>((AP10-R10)/AP10)*100</f>
        <v>100</v>
      </c>
      <c r="BW10" s="761">
        <f>AP10-R10</f>
        <v>27.631799999999998</v>
      </c>
      <c r="BX10" s="762" t="e">
        <f>((AQ10-S10)/AQ10)*100</f>
        <v>#DIV/0!</v>
      </c>
      <c r="BY10" s="92">
        <f>AQ10-S10</f>
        <v>-0.129</v>
      </c>
      <c r="BZ10" s="924">
        <f>((AR10-T10)/AR10)*100</f>
        <v>-0.60750262356216467</v>
      </c>
      <c r="CA10" s="924">
        <f t="shared" ref="CA10:CA12" si="1">((AS10/U10)/AS10)*100</f>
        <v>0.70028887218775848</v>
      </c>
      <c r="CB10" s="924">
        <f>((AS10-U10)/AS10)*100</f>
        <v>-0.69847086754953802</v>
      </c>
      <c r="CC10" s="93">
        <f t="shared" ref="CC10:CC33" si="2">AS10-U10</f>
        <v>-0.99048566801388915</v>
      </c>
      <c r="CD10" s="169" t="str">
        <f>IF(BZ10="","",IF(ABS(BZ10)&gt;10,"FORA","OK"))</f>
        <v>OK</v>
      </c>
      <c r="CE10" s="170" t="str">
        <f>IF(CB10="","",IF(ABS(CB10)&gt;10,"FORA","OK"))</f>
        <v>OK</v>
      </c>
      <c r="CG10" s="95" t="e">
        <f>IF(Q10="","",Q10-#REF!)</f>
        <v>#REF!</v>
      </c>
      <c r="CH10" s="76" t="e">
        <f>IF(T10="","",T10-#REF!)</f>
        <v>#REF!</v>
      </c>
      <c r="CI10" s="33" t="e">
        <f>IF(S10="","",S10-#REF!)</f>
        <v>#REF!</v>
      </c>
      <c r="CJ10" s="76" t="e">
        <f t="shared" ref="CJ10:CJ30" si="3">IF(OR(CG10="",CH10=""),"",CG10+CH10)</f>
        <v>#REF!</v>
      </c>
      <c r="CK10" s="97" t="e">
        <f t="shared" ref="CK10:CK30" si="4">IF(OR(CJ10="",CI10=""),"",CJ10+CI10)</f>
        <v>#REF!</v>
      </c>
      <c r="CL10" s="98" t="e">
        <f>IF(AN10="","",AN10-#REF!)</f>
        <v>#REF!</v>
      </c>
      <c r="CM10" s="76" t="e">
        <f>IF(AP10="","",AP10-#REF!)</f>
        <v>#REF!</v>
      </c>
      <c r="CN10" s="76" t="e">
        <f>IF(AQ10="","",AQ10-#REF!)</f>
        <v>#REF!</v>
      </c>
      <c r="CO10" s="76" t="e">
        <f t="shared" ref="CO10:CO30" si="5">IF(OR(CL10="",CM10=""),"",CL10+CM10)</f>
        <v>#REF!</v>
      </c>
      <c r="CP10" s="47" t="e">
        <f>IF(OR(CO10="",CN10=""),"",CO10+CN10)</f>
        <v>#REF!</v>
      </c>
      <c r="CQ10" s="75" t="s">
        <v>12</v>
      </c>
      <c r="CR10" s="96"/>
    </row>
    <row r="11" spans="1:96" ht="24.75" customHeight="1" x14ac:dyDescent="0.25">
      <c r="A11" s="142">
        <v>46130.375</v>
      </c>
      <c r="B11" s="142">
        <v>46130.416666666664</v>
      </c>
      <c r="C11" s="90">
        <f t="shared" si="0"/>
        <v>0.99999999994179234</v>
      </c>
      <c r="D11" s="258" cm="1">
        <f t="array" ref="D11">_xll.PITimeDat('5.1 TotalHorario_Acomp18&amp;19_04'!$D$7,B11,"","interpolated")</f>
        <v>453.75241944530057</v>
      </c>
      <c r="E11" s="674" cm="1">
        <f t="array" ref="E11">_xll.PITimeDat($E$7,A11,"","interpolated")</f>
        <v>5.0040574555511759E-2</v>
      </c>
      <c r="F11" s="674" cm="1">
        <f t="array" ref="F11">_xll.PITimeDat($F$7,A11,"","interpolated")</f>
        <v>5.0040574555511759E-2</v>
      </c>
      <c r="G11" s="258" cm="1">
        <f t="array" ref="G11">_xll.PITimeDat($G$7,A11,"","interpolated")</f>
        <v>6.5818488900908561</v>
      </c>
      <c r="H11" s="669">
        <f>'MPFM_Horario_18&amp;19_04'!O3</f>
        <v>141.262</v>
      </c>
      <c r="I11" s="572">
        <f>'MPFM_Horario_18&amp;19_04'!P3</f>
        <v>0</v>
      </c>
      <c r="J11" s="572">
        <f>'MPFM_Horario_18&amp;19_04'!Q3</f>
        <v>0.129</v>
      </c>
      <c r="K11" s="572">
        <f>'MPFM_Horario_18&amp;19_04'!R3</f>
        <v>141.262</v>
      </c>
      <c r="L11" s="573">
        <f>'MPFM_Horario_18&amp;19_04'!S3</f>
        <v>141.39099999999999</v>
      </c>
      <c r="M11" s="670">
        <v>1.00953293661294</v>
      </c>
      <c r="N11" s="235">
        <v>1</v>
      </c>
      <c r="O11" s="235">
        <v>1</v>
      </c>
      <c r="P11" s="673">
        <v>1.00953293661294</v>
      </c>
      <c r="Q11" s="905">
        <f t="shared" ref="Q11:T33" si="6">H11*M11</f>
        <v>142.60864169181713</v>
      </c>
      <c r="R11" s="572">
        <f t="shared" si="6"/>
        <v>0</v>
      </c>
      <c r="S11" s="573">
        <f t="shared" si="6"/>
        <v>0.129</v>
      </c>
      <c r="T11" s="906">
        <f t="shared" si="6"/>
        <v>142.60864169181713</v>
      </c>
      <c r="U11" s="573">
        <f t="shared" ref="U11:U33" si="7">Q11+R11+S11</f>
        <v>142.73764169181712</v>
      </c>
      <c r="V11" s="394">
        <f>'MPFM_Horario_18&amp;19_04'!AS3</f>
        <v>611.17999999999995</v>
      </c>
      <c r="W11" s="239">
        <f>'MPFM_Horario_18&amp;19_04'!AT3</f>
        <v>75.88</v>
      </c>
      <c r="X11" s="237">
        <f>'MPFM_Horario_18&amp;19_04'!AU3</f>
        <v>633.78</v>
      </c>
      <c r="Y11" s="237">
        <f>'MPFM_Horario_18&amp;19_04'!AV3</f>
        <v>574.55999999999995</v>
      </c>
      <c r="Z11" s="238">
        <f>'MPFM_Horario_18&amp;19_04'!AW3</f>
        <v>1142.54</v>
      </c>
      <c r="AA11" s="234">
        <f>'MPFM_Horario_18&amp;19_04'!AI3</f>
        <v>106.819</v>
      </c>
      <c r="AB11" s="237">
        <f>'MPFM_Horario_18&amp;19_04'!AJ3</f>
        <v>35.786000000000001</v>
      </c>
      <c r="AC11" s="524">
        <f>'MPFM_Horario_18&amp;19_04'!AK3</f>
        <v>0.129</v>
      </c>
      <c r="AD11" s="242">
        <f t="shared" ref="AD11:AD30" si="8">AA11+AB11</f>
        <v>142.60500000000002</v>
      </c>
      <c r="AE11" s="250">
        <f t="shared" ref="AE11:AE30" si="9">AA11+AB11+AC11</f>
        <v>142.73400000000001</v>
      </c>
      <c r="AF11" s="243">
        <f>'MPFM_Horario_18&amp;19_04'!AN3</f>
        <v>124.218</v>
      </c>
      <c r="AG11" s="243">
        <f>'MPFM_Horario_18&amp;19_04'!AO3/1000</f>
        <v>41.088000000000001</v>
      </c>
      <c r="AH11" s="243">
        <f>'MPFM_Horario_18&amp;19_04'!AP3</f>
        <v>0.104</v>
      </c>
      <c r="AI11" s="109"/>
      <c r="AJ11" s="91">
        <f>'SEP_18&amp;19_04_OLEO'!E4</f>
        <v>46.35</v>
      </c>
      <c r="AK11" s="94">
        <f>'SEP_18&amp;19_04_OLEO'!D4</f>
        <v>86.492080000000001</v>
      </c>
      <c r="AL11" s="91">
        <v>142.38800000000001</v>
      </c>
      <c r="AM11" s="167">
        <f>Q56</f>
        <v>802</v>
      </c>
      <c r="AN11" s="93">
        <f t="shared" ref="AN11:AN33" si="10">AL11*AM11/1000</f>
        <v>114.195176</v>
      </c>
      <c r="AO11" s="735">
        <f t="shared" ref="AO11:AO32" si="11">(AL11*795.59)/1000</f>
        <v>113.28246892000001</v>
      </c>
      <c r="AP11" s="92">
        <f>'SEP_18&amp;19_04_GAS'!I5</f>
        <v>27.787299999999998</v>
      </c>
      <c r="AQ11" s="92">
        <f>'SEP_18&amp;19_04_AGUA'!J5</f>
        <v>0</v>
      </c>
      <c r="AR11" s="92">
        <f>AN11+AP11</f>
        <v>141.98247599999999</v>
      </c>
      <c r="AS11" s="93">
        <f>AN11+AP11+AQ11</f>
        <v>141.98247599999999</v>
      </c>
      <c r="AT11" s="281">
        <f t="shared" ref="AT11:AT34" si="12">((AR11-T11)/AR11)*100</f>
        <v>-0.44101617992429959</v>
      </c>
      <c r="AU11" s="281">
        <f t="shared" ref="AU11:AU33" si="13">((AS11-U11)/AS11)*100</f>
        <v>-0.53187246277993216</v>
      </c>
      <c r="AV11" s="145">
        <v>72.69</v>
      </c>
      <c r="AW11" s="92">
        <v>0.84030000000000005</v>
      </c>
      <c r="AX11" s="93">
        <f t="shared" ref="AX11:AX33" si="14">P56</f>
        <v>0.05</v>
      </c>
      <c r="AY11" s="545">
        <f>'SEP_18&amp;19_04_OLEO'!J4*(1-AX11/100)</f>
        <v>140.21085950000003</v>
      </c>
      <c r="AZ11" s="153">
        <f t="shared" ref="AZ11:AZ20" si="15">AY11*AW11</f>
        <v>117.81918523785004</v>
      </c>
      <c r="BA11" s="727">
        <f>R55</f>
        <v>860.1</v>
      </c>
      <c r="BB11" s="153">
        <f>AZ11*BA11/1000</f>
        <v>101.33628122307482</v>
      </c>
      <c r="BC11" s="544">
        <f>AZ11*AV11</f>
        <v>8564.2765749393184</v>
      </c>
      <c r="BD11" s="153">
        <f>('SEP_18&amp;19_04_GAS'!H5+BC11)/1000</f>
        <v>42.197276574939316</v>
      </c>
      <c r="BE11" s="153">
        <f t="shared" ref="BE11:BE33" si="16">(BD11*78.12)/100</f>
        <v>32.964512460342597</v>
      </c>
      <c r="BF11" s="386">
        <f>'SEP_18&amp;19_04_OLEO'!J4*(AX11/100)</f>
        <v>7.0140500000000008E-2</v>
      </c>
      <c r="BG11" s="153">
        <f>'SEP_18&amp;19_04_AGUA'!K5+'5.1 TotalHorario_Acomp18&amp;19_04'!BF11</f>
        <v>7.0140500000000008E-2</v>
      </c>
      <c r="BH11" s="589">
        <f t="shared" ref="BH11:BH16" si="17">(BG11*0)/1000</f>
        <v>0</v>
      </c>
      <c r="BI11" s="548">
        <f t="shared" ref="BI11:BI33" si="18">BB11+BE11</f>
        <v>134.30079368341742</v>
      </c>
      <c r="BJ11" s="546">
        <f t="shared" ref="BJ11:BJ34" si="19">BI11+BH11</f>
        <v>134.30079368341742</v>
      </c>
      <c r="BK11" s="111"/>
      <c r="BL11" s="176">
        <f>IF(AN11=0,"",(Q11/AN11-1))</f>
        <v>0.24881493848581759</v>
      </c>
      <c r="BM11" s="177" t="e">
        <f>(AB11-#REF!)/#REF!</f>
        <v>#REF!</v>
      </c>
      <c r="BN11" s="177" t="e">
        <f>(AC11-BH11)/BH11</f>
        <v>#DIV/0!</v>
      </c>
      <c r="BO11" s="176">
        <f>(AF11-AZ11)/AZ11</f>
        <v>5.4310465220347784E-2</v>
      </c>
      <c r="BP11" s="177">
        <f>(AG11-BD11)/BD11</f>
        <v>-2.6287871279306856E-2</v>
      </c>
      <c r="BQ11" s="178">
        <f>(AH11-BG11)/BG11</f>
        <v>0.48273821829043112</v>
      </c>
      <c r="BR11" s="111"/>
      <c r="BS11" s="111"/>
      <c r="BT11" s="91">
        <f t="shared" ref="BT11:BT33" si="20">((AN11-Q11)/AN11)*100</f>
        <v>-24.881493848581769</v>
      </c>
      <c r="BU11" s="761">
        <f t="shared" ref="BU11:BU33" si="21">AN11-AA11</f>
        <v>7.376176000000001</v>
      </c>
      <c r="BV11" s="91">
        <f t="shared" ref="BV11:BV33" si="22">((AP11-R11)/AP11)*100</f>
        <v>100</v>
      </c>
      <c r="BW11" s="761">
        <f t="shared" ref="BW11:BW33" si="23">AP11-R11</f>
        <v>27.787299999999998</v>
      </c>
      <c r="BX11" s="762" t="e">
        <f t="shared" ref="BX11:BX33" si="24">((AQ11-S11)/AQ11)*100</f>
        <v>#DIV/0!</v>
      </c>
      <c r="BY11" s="92">
        <f t="shared" ref="BY11:BY33" si="25">AQ11-S11</f>
        <v>-0.129</v>
      </c>
      <c r="BZ11" s="924">
        <f t="shared" ref="BZ11:BZ33" si="26">((AR11-T11)/AR11)*100</f>
        <v>-0.44101617992429959</v>
      </c>
      <c r="CA11" s="924">
        <f t="shared" si="1"/>
        <v>0.70058604594230744</v>
      </c>
      <c r="CB11" s="924">
        <f t="shared" ref="CB11:CB33" si="27">((AS11-U11)/AS11)*100</f>
        <v>-0.53187246277993216</v>
      </c>
      <c r="CC11" s="93">
        <f t="shared" si="2"/>
        <v>-0.75516569181712612</v>
      </c>
      <c r="CD11" s="169" t="str">
        <f t="shared" ref="CD11:CD33" si="28">IF(BZ11="","",IF(ABS(BZ11)&gt;10,"FORA","OK"))</f>
        <v>OK</v>
      </c>
      <c r="CE11" s="170" t="str">
        <f t="shared" ref="CE11:CE33" si="29">IF(CB11="","",IF(ABS(CB11)&gt;10,"FORA","OK"))</f>
        <v>OK</v>
      </c>
      <c r="CG11" s="95">
        <f>IF(Q11="","",Q11-Q10)</f>
        <v>-6.0571976196769128E-2</v>
      </c>
      <c r="CH11" s="76">
        <f>IF(T11="","",T11-T10)</f>
        <v>-6.0571976196769128E-2</v>
      </c>
      <c r="CI11" s="33">
        <f>IF(S11="","",S11-S10)</f>
        <v>0</v>
      </c>
      <c r="CJ11" s="76">
        <f t="shared" si="3"/>
        <v>-0.12114395239353826</v>
      </c>
      <c r="CK11" s="97">
        <f t="shared" si="4"/>
        <v>-0.12114395239353826</v>
      </c>
      <c r="CL11" s="98">
        <f>IF(AN11="","",AN11-AN10)</f>
        <v>1.9248000000004595E-2</v>
      </c>
      <c r="CM11" s="76">
        <f t="shared" ref="CM11:CN30" si="30">IF(AP11="","",AP11-AP10)</f>
        <v>0.15549999999999997</v>
      </c>
      <c r="CN11" s="76">
        <f t="shared" si="30"/>
        <v>0</v>
      </c>
      <c r="CO11" s="76">
        <f t="shared" si="5"/>
        <v>0.17474800000000457</v>
      </c>
      <c r="CP11" s="47">
        <f t="shared" ref="CP11:CP30" si="31">IF(OR(CO11="",CN11=""),"",CO11+CN11)</f>
        <v>0.17474800000000457</v>
      </c>
      <c r="CQ11" s="75" t="s">
        <v>12</v>
      </c>
      <c r="CR11" s="96"/>
    </row>
    <row r="12" spans="1:96" ht="24.75" customHeight="1" x14ac:dyDescent="0.25">
      <c r="A12" s="142">
        <v>46130.416666666664</v>
      </c>
      <c r="B12" s="142">
        <v>46130.45833321759</v>
      </c>
      <c r="C12" s="90">
        <f t="shared" si="0"/>
        <v>0.99999722221400589</v>
      </c>
      <c r="D12" s="258" cm="1">
        <f t="array" ref="D12">_xll.PITimeDat('5.1 TotalHorario_Acomp18&amp;19_04'!$D$7,B12,"","interpolated")</f>
        <v>453.53774193785335</v>
      </c>
      <c r="E12" s="674" cm="1">
        <f t="array" ref="E12">_xll.PITimeDat($E$7,A12,"","interpolated")</f>
        <v>5.0040667930844301E-2</v>
      </c>
      <c r="F12" s="674" cm="1">
        <f t="array" ref="F12">_xll.PITimeDat($F$7,A12,"","interpolated")</f>
        <v>5.0040667930844301E-2</v>
      </c>
      <c r="G12" s="258" cm="1">
        <f t="array" ref="G12">_xll.PITimeDat($G$7,A12,"","interpolated")</f>
        <v>6.5807125681427321</v>
      </c>
      <c r="H12" s="669">
        <f>'MPFM_Horario_18&amp;19_04'!O4</f>
        <v>141.24799999999999</v>
      </c>
      <c r="I12" s="572">
        <f>'MPFM_Horario_18&amp;19_04'!P4</f>
        <v>0</v>
      </c>
      <c r="J12" s="572">
        <f>'MPFM_Horario_18&amp;19_04'!Q4</f>
        <v>0.129</v>
      </c>
      <c r="K12" s="572">
        <f>'MPFM_Horario_18&amp;19_04'!R4</f>
        <v>141.24799999999999</v>
      </c>
      <c r="L12" s="573">
        <f>'MPFM_Horario_18&amp;19_04'!S4</f>
        <v>141.37700000000001</v>
      </c>
      <c r="M12" s="670">
        <v>1.00953293661294</v>
      </c>
      <c r="N12" s="235">
        <v>1</v>
      </c>
      <c r="O12" s="235">
        <v>1</v>
      </c>
      <c r="P12" s="673">
        <v>1.00953293661294</v>
      </c>
      <c r="Q12" s="905">
        <f t="shared" si="6"/>
        <v>142.59450823070455</v>
      </c>
      <c r="R12" s="572">
        <f t="shared" si="6"/>
        <v>0</v>
      </c>
      <c r="S12" s="573">
        <f t="shared" si="6"/>
        <v>0.129</v>
      </c>
      <c r="T12" s="906">
        <f t="shared" si="6"/>
        <v>142.59450823070455</v>
      </c>
      <c r="U12" s="573">
        <f t="shared" si="7"/>
        <v>142.72350823070454</v>
      </c>
      <c r="V12" s="394">
        <f>'MPFM_Horario_18&amp;19_04'!AS4</f>
        <v>611.15</v>
      </c>
      <c r="W12" s="239">
        <f>'MPFM_Horario_18&amp;19_04'!AT4</f>
        <v>75.94</v>
      </c>
      <c r="X12" s="237">
        <f>'MPFM_Horario_18&amp;19_04'!AU4</f>
        <v>633.73</v>
      </c>
      <c r="Y12" s="237">
        <f>'MPFM_Horario_18&amp;19_04'!AV4</f>
        <v>574.51</v>
      </c>
      <c r="Z12" s="238">
        <f>'MPFM_Horario_18&amp;19_04'!AW4</f>
        <v>1142.54</v>
      </c>
      <c r="AA12" s="234">
        <f>'MPFM_Horario_18&amp;19_04'!AI4</f>
        <v>106.80800000000001</v>
      </c>
      <c r="AB12" s="237">
        <f>'MPFM_Horario_18&amp;19_04'!AJ4</f>
        <v>35.781999999999996</v>
      </c>
      <c r="AC12" s="524">
        <f>'MPFM_Horario_18&amp;19_04'!AK4</f>
        <v>0.129</v>
      </c>
      <c r="AD12" s="242">
        <f t="shared" si="8"/>
        <v>142.59</v>
      </c>
      <c r="AE12" s="250">
        <f t="shared" si="9"/>
        <v>142.71899999999999</v>
      </c>
      <c r="AF12" s="243">
        <f>'MPFM_Horario_18&amp;19_04'!AN4</f>
        <v>124.206</v>
      </c>
      <c r="AG12" s="243">
        <f>'MPFM_Horario_18&amp;19_04'!AO4/1000</f>
        <v>41.084000000000003</v>
      </c>
      <c r="AH12" s="243">
        <f>'MPFM_Horario_18&amp;19_04'!AP4</f>
        <v>0.104</v>
      </c>
      <c r="AI12" s="109"/>
      <c r="AJ12" s="91">
        <f>'SEP_18&amp;19_04_OLEO'!E5</f>
        <v>46.69</v>
      </c>
      <c r="AK12" s="94">
        <f>'SEP_18&amp;19_04_OLEO'!D5</f>
        <v>86.490719999999996</v>
      </c>
      <c r="AL12" s="91">
        <v>142.42500000000001</v>
      </c>
      <c r="AM12" s="167">
        <f t="shared" ref="AM12:AM33" si="32">Q57</f>
        <v>802</v>
      </c>
      <c r="AN12" s="93">
        <f t="shared" si="10"/>
        <v>114.22485</v>
      </c>
      <c r="AO12" s="735">
        <f t="shared" si="11"/>
        <v>113.31190575000002</v>
      </c>
      <c r="AP12" s="92">
        <f>'SEP_18&amp;19_04_GAS'!I6</f>
        <v>27.781600000000001</v>
      </c>
      <c r="AQ12" s="92">
        <f>'SEP_18&amp;19_04_AGUA'!J6</f>
        <v>0</v>
      </c>
      <c r="AR12" s="92">
        <f>AN12+AP12</f>
        <v>142.00645</v>
      </c>
      <c r="AS12" s="93">
        <f>AN12+AP12+AQ12</f>
        <v>142.00645</v>
      </c>
      <c r="AT12" s="281">
        <f t="shared" si="12"/>
        <v>-0.41410670480428685</v>
      </c>
      <c r="AU12" s="281">
        <f t="shared" si="13"/>
        <v>-0.50494764900082911</v>
      </c>
      <c r="AV12" s="145">
        <v>72.69</v>
      </c>
      <c r="AW12" s="92">
        <v>0.84030000000000005</v>
      </c>
      <c r="AX12" s="93">
        <f t="shared" si="14"/>
        <v>0.05</v>
      </c>
      <c r="AY12" s="545">
        <f>'SEP_18&amp;19_04_OLEO'!J5*(1-AX12/100)</f>
        <v>140.21085950000003</v>
      </c>
      <c r="AZ12" s="153">
        <f t="shared" si="15"/>
        <v>117.81918523785004</v>
      </c>
      <c r="BA12" s="727">
        <v>861.88300000000004</v>
      </c>
      <c r="BB12" s="153">
        <f>AZ12*BA12/1000</f>
        <v>101.54635283035391</v>
      </c>
      <c r="BC12" s="544">
        <f>AZ12*AV12</f>
        <v>8564.2765749393184</v>
      </c>
      <c r="BD12" s="153">
        <f>('SEP_18&amp;19_04_GAS'!H6+BC12)/1000</f>
        <v>42.190376574939322</v>
      </c>
      <c r="BE12" s="153">
        <f t="shared" si="16"/>
        <v>32.959122180342604</v>
      </c>
      <c r="BF12" s="386">
        <f>'SEP_18&amp;19_04_OLEO'!J5*(AX12/100)</f>
        <v>7.0140500000000008E-2</v>
      </c>
      <c r="BG12" s="153">
        <f>'SEP_18&amp;19_04_AGUA'!K6+'5.1 TotalHorario_Acomp18&amp;19_04'!BF12</f>
        <v>7.0140500000000008E-2</v>
      </c>
      <c r="BH12" s="589">
        <f t="shared" si="17"/>
        <v>0</v>
      </c>
      <c r="BI12" s="548">
        <f t="shared" si="18"/>
        <v>134.5054750106965</v>
      </c>
      <c r="BJ12" s="546">
        <f t="shared" si="19"/>
        <v>134.5054750106965</v>
      </c>
      <c r="BK12" s="111"/>
      <c r="BL12" s="176">
        <f>IF(AN12=0,"",(Q12/AN12-1))</f>
        <v>0.24836678035212612</v>
      </c>
      <c r="BM12" s="177" t="e">
        <f>(AB12-#REF!)/#REF!</f>
        <v>#REF!</v>
      </c>
      <c r="BN12" s="177" t="e">
        <f>(AC12-BH12)/BH12</f>
        <v>#DIV/0!</v>
      </c>
      <c r="BO12" s="176">
        <f>(AF12-AZ12)/AZ12</f>
        <v>5.4208614235928099E-2</v>
      </c>
      <c r="BP12" s="177">
        <f>(AG12-BD12)/BD12</f>
        <v>-2.6223434459613129E-2</v>
      </c>
      <c r="BQ12" s="178">
        <f>(AH12-BG12)/BG12</f>
        <v>0.48273821829043112</v>
      </c>
      <c r="BR12" s="111"/>
      <c r="BS12" s="111"/>
      <c r="BT12" s="91">
        <f t="shared" si="20"/>
        <v>-24.836678035212604</v>
      </c>
      <c r="BU12" s="761">
        <f t="shared" si="21"/>
        <v>7.4168499999999966</v>
      </c>
      <c r="BV12" s="91">
        <f t="shared" si="22"/>
        <v>100</v>
      </c>
      <c r="BW12" s="761">
        <f t="shared" si="23"/>
        <v>27.781600000000001</v>
      </c>
      <c r="BX12" s="762" t="e">
        <f t="shared" si="24"/>
        <v>#DIV/0!</v>
      </c>
      <c r="BY12" s="92">
        <f t="shared" si="25"/>
        <v>-0.129</v>
      </c>
      <c r="BZ12" s="924">
        <f t="shared" si="26"/>
        <v>-0.41410670480428685</v>
      </c>
      <c r="CA12" s="924">
        <f t="shared" si="1"/>
        <v>0.70065542277979609</v>
      </c>
      <c r="CB12" s="924">
        <f t="shared" si="27"/>
        <v>-0.50494764900082911</v>
      </c>
      <c r="CC12" s="93">
        <f t="shared" si="2"/>
        <v>-0.71705823070453789</v>
      </c>
      <c r="CD12" s="169" t="str">
        <f t="shared" si="28"/>
        <v>OK</v>
      </c>
      <c r="CE12" s="170" t="str">
        <f t="shared" si="29"/>
        <v>OK</v>
      </c>
      <c r="CG12" s="95">
        <f>IF(Q12="","",Q12-Q11)</f>
        <v>-1.4133461112578516E-2</v>
      </c>
      <c r="CH12" s="76">
        <f>IF(T12="","",T12-T11)</f>
        <v>-1.4133461112578516E-2</v>
      </c>
      <c r="CI12" s="33">
        <f>IF(S12="","",S12-S11)</f>
        <v>0</v>
      </c>
      <c r="CJ12" s="76">
        <f t="shared" si="3"/>
        <v>-2.8266922225157032E-2</v>
      </c>
      <c r="CK12" s="97">
        <f t="shared" si="4"/>
        <v>-2.8266922225157032E-2</v>
      </c>
      <c r="CL12" s="98">
        <f>IF(AN12="","",AN12-AN11)</f>
        <v>2.9673999999999978E-2</v>
      </c>
      <c r="CM12" s="76">
        <f t="shared" si="30"/>
        <v>-5.6999999999973738E-3</v>
      </c>
      <c r="CN12" s="76">
        <f t="shared" si="30"/>
        <v>0</v>
      </c>
      <c r="CO12" s="76">
        <f t="shared" si="5"/>
        <v>2.3974000000002604E-2</v>
      </c>
      <c r="CP12" s="47">
        <f t="shared" si="31"/>
        <v>2.3974000000002604E-2</v>
      </c>
      <c r="CQ12" s="75" t="s">
        <v>12</v>
      </c>
      <c r="CR12" s="96"/>
    </row>
    <row r="13" spans="1:96" ht="24.75" customHeight="1" x14ac:dyDescent="0.25">
      <c r="A13" s="142">
        <v>46130.458333333336</v>
      </c>
      <c r="B13" s="142">
        <v>46130.499999826388</v>
      </c>
      <c r="C13" s="90">
        <f t="shared" si="0"/>
        <v>0.99999583326280117</v>
      </c>
      <c r="D13" s="258" cm="1">
        <f t="array" ref="D13">_xll.PITimeDat('5.1 TotalHorario_Acomp18&amp;19_04'!$D$7,B13,"","interpolated")</f>
        <v>452.94116240280158</v>
      </c>
      <c r="E13" s="674" cm="1">
        <f t="array" ref="E13">_xll.PITimeDat($E$7,A13,"","interpolated")</f>
        <v>5.0040668115573797E-2</v>
      </c>
      <c r="F13" s="674" cm="1">
        <f t="array" ref="F13">_xll.PITimeDat($F$7,A13,"","interpolated")</f>
        <v>5.0040668115573797E-2</v>
      </c>
      <c r="G13" s="258" cm="1">
        <f t="array" ref="G13">_xll.PITimeDat($G$7,A13,"","interpolated")</f>
        <v>6.579338765103306</v>
      </c>
      <c r="H13" s="669">
        <f>'MPFM_Horario_18&amp;19_04'!O5</f>
        <v>141.196</v>
      </c>
      <c r="I13" s="572">
        <f>'MPFM_Horario_18&amp;19_04'!P5</f>
        <v>0</v>
      </c>
      <c r="J13" s="572">
        <f>'MPFM_Horario_18&amp;19_04'!Q5</f>
        <v>0.129</v>
      </c>
      <c r="K13" s="572">
        <f>'MPFM_Horario_18&amp;19_04'!R5</f>
        <v>141.196</v>
      </c>
      <c r="L13" s="573">
        <f>'MPFM_Horario_18&amp;19_04'!S5</f>
        <v>141.32400000000001</v>
      </c>
      <c r="M13" s="670">
        <v>1.00953293661294</v>
      </c>
      <c r="N13" s="235">
        <v>1</v>
      </c>
      <c r="O13" s="235">
        <v>1</v>
      </c>
      <c r="P13" s="673">
        <v>1.00953293661294</v>
      </c>
      <c r="Q13" s="905">
        <f t="shared" si="6"/>
        <v>142.54201251800066</v>
      </c>
      <c r="R13" s="572">
        <f t="shared" si="6"/>
        <v>0</v>
      </c>
      <c r="S13" s="573">
        <f t="shared" si="6"/>
        <v>0.129</v>
      </c>
      <c r="T13" s="906">
        <f t="shared" si="6"/>
        <v>142.54201251800066</v>
      </c>
      <c r="U13" s="573">
        <f t="shared" si="7"/>
        <v>142.67101251800065</v>
      </c>
      <c r="V13" s="394">
        <f>'MPFM_Horario_18&amp;19_04'!AS5</f>
        <v>611.13</v>
      </c>
      <c r="W13" s="239">
        <f>'MPFM_Horario_18&amp;19_04'!AT5</f>
        <v>76.010000000000005</v>
      </c>
      <c r="X13" s="237">
        <f>'MPFM_Horario_18&amp;19_04'!AU5</f>
        <v>633.69000000000005</v>
      </c>
      <c r="Y13" s="237">
        <f>'MPFM_Horario_18&amp;19_04'!AV5</f>
        <v>574.46</v>
      </c>
      <c r="Z13" s="238">
        <f>'MPFM_Horario_18&amp;19_04'!AW5</f>
        <v>1142.54</v>
      </c>
      <c r="AA13" s="234">
        <f>'MPFM_Horario_18&amp;19_04'!AI5</f>
        <v>106.768</v>
      </c>
      <c r="AB13" s="237">
        <f>'MPFM_Horario_18&amp;19_04'!AJ5</f>
        <v>35.768999999999998</v>
      </c>
      <c r="AC13" s="524">
        <f>'MPFM_Horario_18&amp;19_04'!AK5</f>
        <v>0.129</v>
      </c>
      <c r="AD13" s="242">
        <f t="shared" si="8"/>
        <v>142.53700000000001</v>
      </c>
      <c r="AE13" s="250">
        <f t="shared" si="9"/>
        <v>142.666</v>
      </c>
      <c r="AF13" s="243">
        <f>'MPFM_Horario_18&amp;19_04'!AN5</f>
        <v>124.15900000000001</v>
      </c>
      <c r="AG13" s="243">
        <f>'MPFM_Horario_18&amp;19_04'!AO5/1000</f>
        <v>41.069000000000003</v>
      </c>
      <c r="AH13" s="243">
        <f>'MPFM_Horario_18&amp;19_04'!AP5</f>
        <v>0.10299999999999999</v>
      </c>
      <c r="AI13" s="109"/>
      <c r="AJ13" s="91">
        <f>'SEP_18&amp;19_04_OLEO'!E6</f>
        <v>47.04</v>
      </c>
      <c r="AK13" s="94">
        <f>'SEP_18&amp;19_04_OLEO'!D6</f>
        <v>86.497749999999996</v>
      </c>
      <c r="AL13" s="91">
        <v>142.124</v>
      </c>
      <c r="AM13" s="167">
        <f t="shared" si="32"/>
        <v>802</v>
      </c>
      <c r="AN13" s="93">
        <f t="shared" si="10"/>
        <v>113.983448</v>
      </c>
      <c r="AO13" s="735">
        <f t="shared" si="11"/>
        <v>113.07243316</v>
      </c>
      <c r="AP13" s="92">
        <f>'SEP_18&amp;19_04_GAS'!I7</f>
        <v>27.8264</v>
      </c>
      <c r="AQ13" s="92">
        <f>'SEP_18&amp;19_04_AGUA'!J7</f>
        <v>0</v>
      </c>
      <c r="AR13" s="92">
        <f>AN13+AP13</f>
        <v>141.80984799999999</v>
      </c>
      <c r="AS13" s="93">
        <f>AN13+AP13+AQ13</f>
        <v>141.80984799999999</v>
      </c>
      <c r="AT13" s="281">
        <f t="shared" si="12"/>
        <v>-0.51630019235382918</v>
      </c>
      <c r="AU13" s="281">
        <f t="shared" si="13"/>
        <v>-0.6072670764026652</v>
      </c>
      <c r="AV13" s="145">
        <v>72.69</v>
      </c>
      <c r="AW13" s="92">
        <v>0.84030000000000005</v>
      </c>
      <c r="AX13" s="93">
        <f t="shared" si="14"/>
        <v>0.05</v>
      </c>
      <c r="AY13" s="545">
        <f>'SEP_18&amp;19_04_OLEO'!J6*(1-AX13/100)</f>
        <v>139.87502749999999</v>
      </c>
      <c r="AZ13" s="153">
        <f t="shared" si="15"/>
        <v>117.53698560824999</v>
      </c>
      <c r="BA13" s="727">
        <v>861.88300000000004</v>
      </c>
      <c r="BB13" s="153">
        <f t="shared" ref="BB13:BB33" si="33">AZ13*BA13/1000</f>
        <v>101.30312976699534</v>
      </c>
      <c r="BC13" s="544">
        <f t="shared" ref="BC13:BC33" si="34">AZ13*AV13</f>
        <v>8543.7634838636914</v>
      </c>
      <c r="BD13" s="153">
        <f>('SEP_18&amp;19_04_GAS'!H7+BC13)/1000</f>
        <v>42.223963483863685</v>
      </c>
      <c r="BE13" s="153">
        <f t="shared" si="16"/>
        <v>32.98536027359431</v>
      </c>
      <c r="BF13" s="386">
        <f>'SEP_18&amp;19_04_OLEO'!J6*(AX13/100)</f>
        <v>6.9972499999999993E-2</v>
      </c>
      <c r="BG13" s="153">
        <f>'SEP_18&amp;19_04_AGUA'!K7+'5.1 TotalHorario_Acomp18&amp;19_04'!BF13</f>
        <v>6.9972499999999993E-2</v>
      </c>
      <c r="BH13" s="589">
        <f t="shared" si="17"/>
        <v>0</v>
      </c>
      <c r="BI13" s="548">
        <f t="shared" si="18"/>
        <v>134.28849004058964</v>
      </c>
      <c r="BJ13" s="546">
        <f t="shared" si="19"/>
        <v>134.28849004058964</v>
      </c>
      <c r="BK13" s="111"/>
      <c r="BL13" s="176">
        <f>IF(AN13=0,"",(Q13/AN13-1))</f>
        <v>0.25055010195866911</v>
      </c>
      <c r="BM13" s="177" t="e">
        <f>(AB13-#REF!)/#REF!</f>
        <v>#REF!</v>
      </c>
      <c r="BN13" s="177" t="e">
        <f>(AC13-BH13)/BH13</f>
        <v>#DIV/0!</v>
      </c>
      <c r="BO13" s="176">
        <f>(AF13-AZ13)/AZ13</f>
        <v>5.6339835137691419E-2</v>
      </c>
      <c r="BP13" s="177">
        <f>(AG13-BD13)/BD13</f>
        <v>-2.7353270242028865E-2</v>
      </c>
      <c r="BQ13" s="178">
        <f>(AH13-BG13)/BG13</f>
        <v>0.4720068598377935</v>
      </c>
      <c r="BR13" s="111"/>
      <c r="BS13" s="111"/>
      <c r="BT13" s="91">
        <f>((AN13-Q13)/AN13)*100</f>
        <v>-25.055010195866917</v>
      </c>
      <c r="BU13" s="761">
        <f>AN13-AA13</f>
        <v>7.215447999999995</v>
      </c>
      <c r="BV13" s="91">
        <f t="shared" si="22"/>
        <v>100</v>
      </c>
      <c r="BW13" s="761">
        <f t="shared" si="23"/>
        <v>27.8264</v>
      </c>
      <c r="BX13" s="762" t="e">
        <f t="shared" si="24"/>
        <v>#DIV/0!</v>
      </c>
      <c r="BY13" s="92">
        <f>AQ13-S13</f>
        <v>-0.129</v>
      </c>
      <c r="BZ13" s="924">
        <f t="shared" si="26"/>
        <v>-0.51630019235382918</v>
      </c>
      <c r="CA13" s="924">
        <f t="shared" ref="CA13" si="35">((AS13/U13)/AS13)*100</f>
        <v>0.70091322851853388</v>
      </c>
      <c r="CB13" s="924">
        <f t="shared" si="27"/>
        <v>-0.6072670764026652</v>
      </c>
      <c r="CC13" s="93">
        <f t="shared" si="2"/>
        <v>-0.86116451800066329</v>
      </c>
      <c r="CD13" s="169" t="str">
        <f t="shared" si="28"/>
        <v>OK</v>
      </c>
      <c r="CE13" s="170" t="str">
        <f t="shared" si="29"/>
        <v>OK</v>
      </c>
      <c r="CG13" s="95">
        <f>IF(Q13="","",Q13-Q12)</f>
        <v>-5.2495712703887421E-2</v>
      </c>
      <c r="CH13" s="76">
        <f>IF(T13="","",T13-T12)</f>
        <v>-5.2495712703887421E-2</v>
      </c>
      <c r="CI13" s="33">
        <f>IF(S13="","",S13-S12)</f>
        <v>0</v>
      </c>
      <c r="CJ13" s="76">
        <f t="shared" si="3"/>
        <v>-0.10499142540777484</v>
      </c>
      <c r="CK13" s="97">
        <f t="shared" si="4"/>
        <v>-0.10499142540777484</v>
      </c>
      <c r="CL13" s="98">
        <f>IF(AN13="","",AN13-AN12)</f>
        <v>-0.24140200000000789</v>
      </c>
      <c r="CM13" s="76">
        <f t="shared" si="30"/>
        <v>4.4799999999998619E-2</v>
      </c>
      <c r="CN13" s="76">
        <f t="shared" si="30"/>
        <v>0</v>
      </c>
      <c r="CO13" s="76">
        <f t="shared" si="5"/>
        <v>-0.19660200000000927</v>
      </c>
      <c r="CP13" s="47">
        <f t="shared" si="31"/>
        <v>-0.19660200000000927</v>
      </c>
      <c r="CQ13" s="75" t="s">
        <v>12</v>
      </c>
      <c r="CR13" s="96"/>
    </row>
    <row r="14" spans="1:96" ht="24.75" customHeight="1" x14ac:dyDescent="0.25">
      <c r="A14" s="142">
        <v>46130.5</v>
      </c>
      <c r="B14" s="142">
        <v>46130.541666435187</v>
      </c>
      <c r="C14" s="90">
        <f t="shared" si="0"/>
        <v>0.99999444448621944</v>
      </c>
      <c r="D14" s="258" cm="1">
        <f t="array" ref="D14">_xll.PITimeDat('5.1 TotalHorario_Acomp18&amp;19_04'!$D$7,B14,"","interpolated")</f>
        <v>452.94699693038734</v>
      </c>
      <c r="E14" s="674" cm="1">
        <f t="array" ref="E14">_xll.PITimeDat($E$7,A14,"","interpolated")</f>
        <v>5.0040805385402502E-2</v>
      </c>
      <c r="F14" s="674" cm="1">
        <f t="array" ref="F14">_xll.PITimeDat($F$7,A14,"","interpolated")</f>
        <v>5.0040805385402502E-2</v>
      </c>
      <c r="G14" s="258" cm="1">
        <f t="array" ref="G14">_xll.PITimeDat($G$7,A14,"","interpolated")</f>
        <v>6.5751397382968646</v>
      </c>
      <c r="H14" s="669">
        <f>'MPFM_Horario_18&amp;19_04'!O6</f>
        <v>141.17599999999999</v>
      </c>
      <c r="I14" s="572">
        <f>'MPFM_Horario_18&amp;19_04'!P6</f>
        <v>0</v>
      </c>
      <c r="J14" s="572">
        <f>'MPFM_Horario_18&amp;19_04'!Q6</f>
        <v>0.129</v>
      </c>
      <c r="K14" s="572">
        <f>'MPFM_Horario_18&amp;19_04'!R6</f>
        <v>141.17599999999999</v>
      </c>
      <c r="L14" s="573">
        <f>'MPFM_Horario_18&amp;19_04'!S6</f>
        <v>141.30500000000001</v>
      </c>
      <c r="M14" s="670">
        <v>1.00953293661294</v>
      </c>
      <c r="N14" s="235">
        <v>1</v>
      </c>
      <c r="O14" s="235">
        <v>1</v>
      </c>
      <c r="P14" s="673">
        <v>1.00953293661294</v>
      </c>
      <c r="Q14" s="905">
        <f t="shared" si="6"/>
        <v>142.52182185926841</v>
      </c>
      <c r="R14" s="572">
        <f t="shared" si="6"/>
        <v>0</v>
      </c>
      <c r="S14" s="573">
        <f t="shared" si="6"/>
        <v>0.129</v>
      </c>
      <c r="T14" s="906">
        <f t="shared" si="6"/>
        <v>142.52182185926841</v>
      </c>
      <c r="U14" s="573">
        <f t="shared" si="7"/>
        <v>142.6508218592684</v>
      </c>
      <c r="V14" s="394">
        <f>'MPFM_Horario_18&amp;19_04'!AS6</f>
        <v>611.11</v>
      </c>
      <c r="W14" s="239">
        <f>'MPFM_Horario_18&amp;19_04'!AT6</f>
        <v>76.06</v>
      </c>
      <c r="X14" s="237">
        <f>'MPFM_Horario_18&amp;19_04'!AU6</f>
        <v>633.65</v>
      </c>
      <c r="Y14" s="237">
        <f>'MPFM_Horario_18&amp;19_04'!AV6</f>
        <v>574.41</v>
      </c>
      <c r="Z14" s="238">
        <f>'MPFM_Horario_18&amp;19_04'!AW6</f>
        <v>1142.54</v>
      </c>
      <c r="AA14" s="234">
        <f>'MPFM_Horario_18&amp;19_04'!AI6</f>
        <v>106.753</v>
      </c>
      <c r="AB14" s="237">
        <f>'MPFM_Horario_18&amp;19_04'!AJ6</f>
        <v>35.764000000000003</v>
      </c>
      <c r="AC14" s="524">
        <f>'MPFM_Horario_18&amp;19_04'!AK6</f>
        <v>0.129</v>
      </c>
      <c r="AD14" s="242">
        <f t="shared" si="8"/>
        <v>142.517</v>
      </c>
      <c r="AE14" s="250">
        <f t="shared" si="9"/>
        <v>142.64599999999999</v>
      </c>
      <c r="AF14" s="243">
        <f>'MPFM_Horario_18&amp;19_04'!AN6</f>
        <v>124.142</v>
      </c>
      <c r="AG14" s="243">
        <f>'MPFM_Horario_18&amp;19_04'!AO6/1000</f>
        <v>41.063000000000002</v>
      </c>
      <c r="AH14" s="243">
        <f>'MPFM_Horario_18&amp;19_04'!AP6</f>
        <v>0.10299999999999999</v>
      </c>
      <c r="AI14" s="109"/>
      <c r="AJ14" s="91">
        <f>'SEP_18&amp;19_04_OLEO'!E7</f>
        <v>47.23</v>
      </c>
      <c r="AK14" s="94">
        <f>'SEP_18&amp;19_04_OLEO'!D7</f>
        <v>0.86495</v>
      </c>
      <c r="AL14" s="91">
        <v>142.477</v>
      </c>
      <c r="AM14" s="167">
        <f t="shared" si="32"/>
        <v>802</v>
      </c>
      <c r="AN14" s="93">
        <f t="shared" si="10"/>
        <v>114.266554</v>
      </c>
      <c r="AO14" s="735">
        <f t="shared" si="11"/>
        <v>113.35327643000001</v>
      </c>
      <c r="AP14" s="92">
        <f>'SEP_18&amp;19_04_GAS'!I8</f>
        <v>27.794</v>
      </c>
      <c r="AQ14" s="92">
        <f>'SEP_18&amp;19_04_AGUA'!J8</f>
        <v>0</v>
      </c>
      <c r="AR14" s="92">
        <f>AN14+AP14</f>
        <v>142.060554</v>
      </c>
      <c r="AS14" s="93">
        <f>AN14+AP14+AQ14</f>
        <v>142.060554</v>
      </c>
      <c r="AT14" s="281">
        <f t="shared" si="12"/>
        <v>-0.32469805746950531</v>
      </c>
      <c r="AU14" s="281">
        <f t="shared" si="13"/>
        <v>-0.41550440474025491</v>
      </c>
      <c r="AV14" s="145">
        <v>72.69</v>
      </c>
      <c r="AW14" s="92">
        <v>0.84030000000000005</v>
      </c>
      <c r="AX14" s="93">
        <f t="shared" si="14"/>
        <v>0.05</v>
      </c>
      <c r="AY14" s="545">
        <f>'SEP_18&amp;19_04_OLEO'!J7*(1-AX14/100)</f>
        <v>140.19986500000002</v>
      </c>
      <c r="AZ14" s="153">
        <f t="shared" si="15"/>
        <v>117.80994655950002</v>
      </c>
      <c r="BA14" s="727">
        <v>861.88300000000004</v>
      </c>
      <c r="BB14" s="153">
        <f t="shared" si="33"/>
        <v>101.53839017054156</v>
      </c>
      <c r="BC14" s="544">
        <f t="shared" si="34"/>
        <v>8563.6050154100558</v>
      </c>
      <c r="BD14" s="153">
        <f>('SEP_18&amp;19_04_GAS'!H8+BC14)/1000</f>
        <v>42.204705015410056</v>
      </c>
      <c r="BE14" s="153">
        <f t="shared" si="16"/>
        <v>32.970315558038337</v>
      </c>
      <c r="BF14" s="386">
        <f>'SEP_18&amp;19_04_OLEO'!J7*(AX14/100)</f>
        <v>7.0135000000000003E-2</v>
      </c>
      <c r="BG14" s="153">
        <f>'SEP_18&amp;19_04_AGUA'!K8+'5.1 TotalHorario_Acomp18&amp;19_04'!BF14</f>
        <v>7.0135000000000003E-2</v>
      </c>
      <c r="BH14" s="589">
        <f t="shared" si="17"/>
        <v>0</v>
      </c>
      <c r="BI14" s="548">
        <f t="shared" si="18"/>
        <v>134.50870572857991</v>
      </c>
      <c r="BJ14" s="546">
        <f t="shared" si="19"/>
        <v>134.50870572857991</v>
      </c>
      <c r="BK14" s="111"/>
      <c r="BL14" s="176">
        <f>IF(AN14=0,"",(Q14/AN14-1))</f>
        <v>0.24727505004892691</v>
      </c>
      <c r="BM14" s="177" t="e">
        <f>(AB14-#REF!)/#REF!</f>
        <v>#REF!</v>
      </c>
      <c r="BN14" s="177" t="e">
        <f>(AC14-BH14)/BH14</f>
        <v>#DIV/0!</v>
      </c>
      <c r="BO14" s="176">
        <f>(AF14-AZ14)/AZ14</f>
        <v>5.3748037626873607E-2</v>
      </c>
      <c r="BP14" s="177">
        <f>(AG14-BD14)/BD14</f>
        <v>-2.7051605146705491E-2</v>
      </c>
      <c r="BQ14" s="178">
        <f>(AH14-BG14)/BG14</f>
        <v>0.46859627860554631</v>
      </c>
      <c r="BR14" s="111"/>
      <c r="BS14" s="111"/>
      <c r="BT14" s="91">
        <f t="shared" si="20"/>
        <v>-24.727505004892699</v>
      </c>
      <c r="BU14" s="761">
        <f t="shared" si="21"/>
        <v>7.5135539999999992</v>
      </c>
      <c r="BV14" s="91">
        <f t="shared" si="22"/>
        <v>100</v>
      </c>
      <c r="BW14" s="761">
        <f t="shared" si="23"/>
        <v>27.794</v>
      </c>
      <c r="BX14" s="762" t="e">
        <f t="shared" si="24"/>
        <v>#DIV/0!</v>
      </c>
      <c r="BY14" s="92">
        <f t="shared" si="25"/>
        <v>-0.129</v>
      </c>
      <c r="BZ14" s="924">
        <f t="shared" si="26"/>
        <v>-0.32469805746950531</v>
      </c>
      <c r="CA14" s="435">
        <f t="shared" ref="CA11:CA33" si="36">AR14-T14</f>
        <v>-0.46126785926841762</v>
      </c>
      <c r="CB14" s="924">
        <f t="shared" si="27"/>
        <v>-0.41550440474025491</v>
      </c>
      <c r="CC14" s="93">
        <f t="shared" si="2"/>
        <v>-0.5902678592684083</v>
      </c>
      <c r="CD14" s="169" t="str">
        <f t="shared" si="28"/>
        <v>OK</v>
      </c>
      <c r="CE14" s="170" t="str">
        <f t="shared" si="29"/>
        <v>OK</v>
      </c>
      <c r="CG14" s="95">
        <f>IF(Q14="","",Q14-Q13)</f>
        <v>-2.0190658732246902E-2</v>
      </c>
      <c r="CH14" s="76">
        <f>IF(T14="","",T14-T13)</f>
        <v>-2.0190658732246902E-2</v>
      </c>
      <c r="CI14" s="33">
        <f>IF(S14="","",S14-S13)</f>
        <v>0</v>
      </c>
      <c r="CJ14" s="76">
        <f t="shared" si="3"/>
        <v>-4.0381317464493804E-2</v>
      </c>
      <c r="CK14" s="97">
        <f t="shared" si="4"/>
        <v>-4.0381317464493804E-2</v>
      </c>
      <c r="CL14" s="98">
        <f>IF(AN14="","",AN14-AN13)</f>
        <v>0.28310600000000363</v>
      </c>
      <c r="CM14" s="76">
        <f t="shared" si="30"/>
        <v>-3.2399999999999096E-2</v>
      </c>
      <c r="CN14" s="76">
        <f t="shared" si="30"/>
        <v>0</v>
      </c>
      <c r="CO14" s="76">
        <f t="shared" si="5"/>
        <v>0.25070600000000454</v>
      </c>
      <c r="CP14" s="47">
        <f t="shared" si="31"/>
        <v>0.25070600000000454</v>
      </c>
      <c r="CQ14" s="75" t="s">
        <v>12</v>
      </c>
      <c r="CR14" s="96"/>
    </row>
    <row r="15" spans="1:96" ht="24.75" customHeight="1" x14ac:dyDescent="0.25">
      <c r="A15" s="142">
        <v>46130.541666666664</v>
      </c>
      <c r="B15" s="142">
        <v>46130.583333043978</v>
      </c>
      <c r="C15" s="90">
        <f t="shared" si="0"/>
        <v>0.99999305553501472</v>
      </c>
      <c r="D15" s="258" cm="1">
        <f t="array" ref="D15">_xll.PITimeDat('5.1 TotalHorario_Acomp18&amp;19_04'!$D$7,B15,"","interpolated")</f>
        <v>453.13022396409002</v>
      </c>
      <c r="E15" s="258" cm="1">
        <f t="array" ref="E15">_xll.PITimeDat('5.1 TotalHorario_Acomp18&amp;19_04'!$E$7,B15,"","interpolated")</f>
        <v>5.0040730410065556E-2</v>
      </c>
      <c r="F15" s="258" cm="1">
        <f t="array" ref="F15">_xll.PITimeDat('5.1 TotalHorario_Acomp18&amp;19_04'!$F$7,B15,"","interpolated")</f>
        <v>5.0040730410065556E-2</v>
      </c>
      <c r="G15" s="258" cm="1">
        <f t="array" ref="G15">_xll.PITimeDat('5.1 TotalHorario_Acomp18&amp;19_04'!$G$7,B15,"","interpolated")</f>
        <v>6.576897998768592</v>
      </c>
      <c r="H15" s="669">
        <f>'MPFM_Horario_18&amp;19_04'!O7</f>
        <v>141.19900000000001</v>
      </c>
      <c r="I15" s="572">
        <f>'MPFM_Horario_18&amp;19_04'!P7</f>
        <v>0</v>
      </c>
      <c r="J15" s="572">
        <f>'MPFM_Horario_18&amp;19_04'!Q7</f>
        <v>0.129</v>
      </c>
      <c r="K15" s="572">
        <f>'MPFM_Horario_18&amp;19_04'!R7</f>
        <v>141.19900000000001</v>
      </c>
      <c r="L15" s="573">
        <f>'MPFM_Horario_18&amp;19_04'!S7</f>
        <v>141.328</v>
      </c>
      <c r="M15" s="670">
        <v>1.00953293661294</v>
      </c>
      <c r="N15" s="235">
        <v>1</v>
      </c>
      <c r="O15" s="235">
        <v>1</v>
      </c>
      <c r="P15" s="673">
        <v>1.00953293661294</v>
      </c>
      <c r="Q15" s="905">
        <f t="shared" si="6"/>
        <v>142.54504111681052</v>
      </c>
      <c r="R15" s="572">
        <f t="shared" si="6"/>
        <v>0</v>
      </c>
      <c r="S15" s="573">
        <f t="shared" si="6"/>
        <v>0.129</v>
      </c>
      <c r="T15" s="906">
        <f t="shared" si="6"/>
        <v>142.54504111681052</v>
      </c>
      <c r="U15" s="573">
        <f t="shared" si="7"/>
        <v>142.67404111681051</v>
      </c>
      <c r="V15" s="394">
        <f>'MPFM_Horario_18&amp;19_04'!AS7</f>
        <v>611.08000000000004</v>
      </c>
      <c r="W15" s="239">
        <f>'MPFM_Horario_18&amp;19_04'!AT7</f>
        <v>76.099999999999994</v>
      </c>
      <c r="X15" s="237">
        <f>'MPFM_Horario_18&amp;19_04'!AU7</f>
        <v>633.62</v>
      </c>
      <c r="Y15" s="237">
        <f>'MPFM_Horario_18&amp;19_04'!AV7</f>
        <v>574.38</v>
      </c>
      <c r="Z15" s="238">
        <f>'MPFM_Horario_18&amp;19_04'!AW7</f>
        <v>1142.54</v>
      </c>
      <c r="AA15" s="234">
        <f>'MPFM_Horario_18&amp;19_04'!AI7</f>
        <v>106.771</v>
      </c>
      <c r="AB15" s="237">
        <f>'MPFM_Horario_18&amp;19_04'!AJ7</f>
        <v>35.770000000000003</v>
      </c>
      <c r="AC15" s="524">
        <f>'MPFM_Horario_18&amp;19_04'!AK7</f>
        <v>0.129</v>
      </c>
      <c r="AD15" s="242">
        <f t="shared" si="8"/>
        <v>142.541</v>
      </c>
      <c r="AE15" s="250">
        <f t="shared" si="9"/>
        <v>142.66999999999999</v>
      </c>
      <c r="AF15" s="243">
        <f>'MPFM_Horario_18&amp;19_04'!AN7</f>
        <v>124.16200000000001</v>
      </c>
      <c r="AG15" s="243">
        <f>'MPFM_Horario_18&amp;19_04'!AO7/1000</f>
        <v>41.07</v>
      </c>
      <c r="AH15" s="243">
        <f>'MPFM_Horario_18&amp;19_04'!AP7</f>
        <v>0.10299999999999999</v>
      </c>
      <c r="AI15" s="109"/>
      <c r="AJ15" s="91">
        <f>'SEP_18&amp;19_04_OLEO'!E8</f>
        <v>47.38</v>
      </c>
      <c r="AK15" s="94">
        <f>'SEP_18&amp;19_04_OLEO'!D8</f>
        <v>86.493840000000006</v>
      </c>
      <c r="AL15" s="91">
        <v>142.18700000000001</v>
      </c>
      <c r="AM15" s="167">
        <f t="shared" si="32"/>
        <v>801.5</v>
      </c>
      <c r="AN15" s="93">
        <f t="shared" si="10"/>
        <v>113.96288050000001</v>
      </c>
      <c r="AO15" s="735">
        <f t="shared" si="11"/>
        <v>113.12255533000001</v>
      </c>
      <c r="AP15" s="92">
        <f>'SEP_18&amp;19_04_GAS'!I9</f>
        <v>27.626899999999999</v>
      </c>
      <c r="AQ15" s="92">
        <f>'SEP_18&amp;19_04_AGUA'!J9</f>
        <v>0</v>
      </c>
      <c r="AR15" s="92">
        <f>AN15+AP15</f>
        <v>141.58978050000002</v>
      </c>
      <c r="AS15" s="93">
        <f>AN15+AP15+AQ15</f>
        <v>141.58978050000002</v>
      </c>
      <c r="AT15" s="281">
        <f t="shared" si="12"/>
        <v>-0.67466777152783686</v>
      </c>
      <c r="AU15" s="281">
        <f t="shared" si="13"/>
        <v>-0.76577604187365511</v>
      </c>
      <c r="AV15" s="145">
        <v>72.69</v>
      </c>
      <c r="AW15" s="92">
        <v>0.84030000000000005</v>
      </c>
      <c r="AX15" s="93">
        <f t="shared" si="14"/>
        <v>0.05</v>
      </c>
      <c r="AY15" s="545">
        <f>'SEP_18&amp;19_04_OLEO'!J8*(1-AX15/100)</f>
        <v>139.89701650000001</v>
      </c>
      <c r="AZ15" s="153">
        <f t="shared" si="15"/>
        <v>117.55546296495001</v>
      </c>
      <c r="BA15" s="727">
        <v>861.88300000000004</v>
      </c>
      <c r="BB15" s="153">
        <f t="shared" si="33"/>
        <v>101.31905508662003</v>
      </c>
      <c r="BC15" s="544">
        <f t="shared" si="34"/>
        <v>8545.1066029222166</v>
      </c>
      <c r="BD15" s="153">
        <f>('SEP_18&amp;19_04_GAS'!H9+BC15)/1000</f>
        <v>41.984006602922221</v>
      </c>
      <c r="BE15" s="153">
        <f t="shared" si="16"/>
        <v>32.79790595820284</v>
      </c>
      <c r="BF15" s="386">
        <f>'SEP_18&amp;19_04_OLEO'!J8*(AX15/100)</f>
        <v>6.9983500000000004E-2</v>
      </c>
      <c r="BG15" s="153">
        <f>'SEP_18&amp;19_04_AGUA'!K9+'5.1 TotalHorario_Acomp18&amp;19_04'!BF15</f>
        <v>6.9983500000000004E-2</v>
      </c>
      <c r="BH15" s="589">
        <f t="shared" si="17"/>
        <v>0</v>
      </c>
      <c r="BI15" s="548">
        <f t="shared" si="18"/>
        <v>134.11696104482286</v>
      </c>
      <c r="BJ15" s="546">
        <f t="shared" si="19"/>
        <v>134.11696104482286</v>
      </c>
      <c r="BK15" s="111"/>
      <c r="BL15" s="176">
        <f>IF(AN15=0,"",(Q15/AN15-1))</f>
        <v>0.25080237083697177</v>
      </c>
      <c r="BM15" s="177" t="e">
        <f>(AB15-#REF!)/#REF!</f>
        <v>#REF!</v>
      </c>
      <c r="BN15" s="177" t="e">
        <f>(AC15-BH15)/BH15</f>
        <v>#DIV/0!</v>
      </c>
      <c r="BO15" s="176">
        <f>(AF15-AZ15)/AZ15</f>
        <v>5.6199319609840523E-2</v>
      </c>
      <c r="BP15" s="177">
        <f>(AG15-BD15)/BD15</f>
        <v>-2.1770352019204461E-2</v>
      </c>
      <c r="BQ15" s="178">
        <f>(AH15-BG15)/BG15</f>
        <v>0.47177548993691354</v>
      </c>
      <c r="BR15" s="111"/>
      <c r="BS15" s="111"/>
      <c r="BT15" s="91">
        <f t="shared" si="20"/>
        <v>-25.080237083697188</v>
      </c>
      <c r="BU15" s="761">
        <f t="shared" si="21"/>
        <v>7.1918805000000106</v>
      </c>
      <c r="BV15" s="91">
        <f t="shared" si="22"/>
        <v>100</v>
      </c>
      <c r="BW15" s="761">
        <f t="shared" si="23"/>
        <v>27.626899999999999</v>
      </c>
      <c r="BX15" s="762" t="e">
        <f t="shared" si="24"/>
        <v>#DIV/0!</v>
      </c>
      <c r="BY15" s="92">
        <f t="shared" si="25"/>
        <v>-0.129</v>
      </c>
      <c r="BZ15" s="924">
        <f t="shared" si="26"/>
        <v>-0.67466777152783686</v>
      </c>
      <c r="CA15" s="435">
        <f t="shared" si="36"/>
        <v>-0.95526061681050578</v>
      </c>
      <c r="CB15" s="924">
        <f t="shared" si="27"/>
        <v>-0.76577604187365511</v>
      </c>
      <c r="CC15" s="93">
        <f t="shared" si="2"/>
        <v>-1.0842606168104965</v>
      </c>
      <c r="CD15" s="169" t="str">
        <f t="shared" si="28"/>
        <v>OK</v>
      </c>
      <c r="CE15" s="170" t="str">
        <f t="shared" si="29"/>
        <v>OK</v>
      </c>
      <c r="CG15" s="95">
        <f>IF(Q15="","",Q15-Q14)</f>
        <v>2.3219257542109517E-2</v>
      </c>
      <c r="CH15" s="76">
        <f>IF(T15="","",T15-T14)</f>
        <v>2.3219257542109517E-2</v>
      </c>
      <c r="CI15" s="33">
        <f>IF(S15="","",S15-S14)</f>
        <v>0</v>
      </c>
      <c r="CJ15" s="76">
        <f t="shared" si="3"/>
        <v>4.6438515084219034E-2</v>
      </c>
      <c r="CK15" s="97">
        <f t="shared" si="4"/>
        <v>4.6438515084219034E-2</v>
      </c>
      <c r="CL15" s="98">
        <f>IF(AN15="","",AN15-AN14)</f>
        <v>-0.30367349999998794</v>
      </c>
      <c r="CM15" s="76">
        <f t="shared" si="30"/>
        <v>-0.16710000000000136</v>
      </c>
      <c r="CN15" s="76">
        <f t="shared" si="30"/>
        <v>0</v>
      </c>
      <c r="CO15" s="76">
        <f t="shared" si="5"/>
        <v>-0.4707734999999893</v>
      </c>
      <c r="CP15" s="47">
        <f t="shared" si="31"/>
        <v>-0.4707734999999893</v>
      </c>
      <c r="CQ15" s="75" t="s">
        <v>12</v>
      </c>
      <c r="CR15" s="96"/>
    </row>
    <row r="16" spans="1:96" ht="24.75" customHeight="1" x14ac:dyDescent="0.25">
      <c r="A16" s="142">
        <v>46130.583333333336</v>
      </c>
      <c r="B16" s="142">
        <v>46130.624999652777</v>
      </c>
      <c r="C16" s="90">
        <f t="shared" si="0"/>
        <v>0.99999166658381</v>
      </c>
      <c r="D16" s="258" cm="1">
        <f t="array" ref="D16">_xll.PITimeDat('5.1 TotalHorario_Acomp18&amp;19_04'!$D$7,B16,"","interpolated")</f>
        <v>453.31646505494047</v>
      </c>
      <c r="E16" s="258" cm="1">
        <f t="array" ref="E16">_xll.PITimeDat('5.1 TotalHorario_Acomp18&amp;19_04'!$E$7,B16,"","interpolated")</f>
        <v>5.0040768347981678E-2</v>
      </c>
      <c r="F16" s="258" cm="1">
        <f t="array" ref="F16">_xll.PITimeDat('5.1 TotalHorario_Acomp18&amp;19_04'!$F$7,B16,"","interpolated")</f>
        <v>5.0040768347981678E-2</v>
      </c>
      <c r="G16" s="258" cm="1">
        <f t="array" ref="G16">_xll.PITimeDat('5.1 TotalHorario_Acomp18&amp;19_04'!$G$7,B16,"","interpolated")</f>
        <v>6.5784835417559915</v>
      </c>
      <c r="H16" s="669">
        <f>'MPFM_Horario_18&amp;19_04'!O8</f>
        <v>141.15199999999999</v>
      </c>
      <c r="I16" s="572">
        <f>'MPFM_Horario_18&amp;19_04'!P8</f>
        <v>0</v>
      </c>
      <c r="J16" s="572">
        <f>'MPFM_Horario_18&amp;19_04'!Q8</f>
        <v>0.129</v>
      </c>
      <c r="K16" s="572">
        <f>'MPFM_Horario_18&amp;19_04'!R8</f>
        <v>141.15199999999999</v>
      </c>
      <c r="L16" s="573">
        <f>'MPFM_Horario_18&amp;19_04'!S8</f>
        <v>141.28100000000001</v>
      </c>
      <c r="M16" s="670">
        <v>1.00953293661294</v>
      </c>
      <c r="N16" s="235">
        <v>1</v>
      </c>
      <c r="O16" s="235">
        <v>1</v>
      </c>
      <c r="P16" s="673">
        <v>1.00953293661294</v>
      </c>
      <c r="Q16" s="905">
        <f t="shared" si="6"/>
        <v>142.49759306878968</v>
      </c>
      <c r="R16" s="572">
        <f t="shared" si="6"/>
        <v>0</v>
      </c>
      <c r="S16" s="573">
        <f t="shared" si="6"/>
        <v>0.129</v>
      </c>
      <c r="T16" s="906">
        <f t="shared" si="6"/>
        <v>142.49759306878968</v>
      </c>
      <c r="U16" s="573">
        <f t="shared" si="7"/>
        <v>142.62659306878967</v>
      </c>
      <c r="V16" s="394">
        <f>'MPFM_Horario_18&amp;19_04'!AS8</f>
        <v>611.04999999999995</v>
      </c>
      <c r="W16" s="239">
        <f>'MPFM_Horario_18&amp;19_04'!AT8</f>
        <v>76.150000000000006</v>
      </c>
      <c r="X16" s="237">
        <f>'MPFM_Horario_18&amp;19_04'!AU8</f>
        <v>633.58000000000004</v>
      </c>
      <c r="Y16" s="237">
        <f>'MPFM_Horario_18&amp;19_04'!AV8</f>
        <v>574.34</v>
      </c>
      <c r="Z16" s="238">
        <f>'MPFM_Horario_18&amp;19_04'!AW8</f>
        <v>1142.54</v>
      </c>
      <c r="AA16" s="234">
        <f>'MPFM_Horario_18&amp;19_04'!AI8</f>
        <v>106.735</v>
      </c>
      <c r="AB16" s="237">
        <f>'MPFM_Horario_18&amp;19_04'!AJ8</f>
        <v>35.758000000000003</v>
      </c>
      <c r="AC16" s="524">
        <f>'MPFM_Horario_18&amp;19_04'!AK8</f>
        <v>0.129</v>
      </c>
      <c r="AD16" s="242">
        <f t="shared" si="8"/>
        <v>142.49299999999999</v>
      </c>
      <c r="AE16" s="250">
        <f t="shared" si="9"/>
        <v>142.62199999999999</v>
      </c>
      <c r="AF16" s="243">
        <f>'MPFM_Horario_18&amp;19_04'!AN8</f>
        <v>124.121</v>
      </c>
      <c r="AG16" s="243">
        <f>'MPFM_Horario_18&amp;19_04'!AO8/1000</f>
        <v>41.055999999999997</v>
      </c>
      <c r="AH16" s="243">
        <f>'MPFM_Horario_18&amp;19_04'!AP8</f>
        <v>0.10299999999999999</v>
      </c>
      <c r="AI16" s="109"/>
      <c r="AJ16" s="91">
        <f>'SEP_18&amp;19_04_OLEO'!E9</f>
        <v>47.51</v>
      </c>
      <c r="AK16" s="94">
        <f>'SEP_18&amp;19_04_OLEO'!D9</f>
        <v>86.492180000000005</v>
      </c>
      <c r="AL16" s="91">
        <v>142.024</v>
      </c>
      <c r="AM16" s="167">
        <f t="shared" si="32"/>
        <v>801.5</v>
      </c>
      <c r="AN16" s="93">
        <f t="shared" si="10"/>
        <v>113.83223600000001</v>
      </c>
      <c r="AO16" s="735">
        <f t="shared" si="11"/>
        <v>112.99287416000001</v>
      </c>
      <c r="AP16" s="92">
        <f>'SEP_18&amp;19_04_GAS'!I10</f>
        <v>27.784800000000001</v>
      </c>
      <c r="AQ16" s="92">
        <f>'SEP_18&amp;19_04_AGUA'!J10</f>
        <v>0</v>
      </c>
      <c r="AR16" s="92">
        <f>AN16+AP16</f>
        <v>141.61703600000001</v>
      </c>
      <c r="AS16" s="93">
        <f>AN16+AP16+AQ16</f>
        <v>141.61703600000001</v>
      </c>
      <c r="AT16" s="281">
        <f t="shared" si="12"/>
        <v>-0.62178752900157463</v>
      </c>
      <c r="AU16" s="281">
        <f t="shared" si="13"/>
        <v>-0.7128782647235048</v>
      </c>
      <c r="AV16" s="145">
        <v>72.69</v>
      </c>
      <c r="AW16" s="92">
        <v>0.84030000000000005</v>
      </c>
      <c r="AX16" s="93">
        <f t="shared" si="14"/>
        <v>0.05</v>
      </c>
      <c r="AY16" s="545">
        <f>'SEP_18&amp;19_04_OLEO'!J9*(1-AX16/100)</f>
        <v>139.72310350000001</v>
      </c>
      <c r="AZ16" s="153">
        <f t="shared" si="15"/>
        <v>117.40932387105001</v>
      </c>
      <c r="BA16" s="727">
        <v>861.88300000000004</v>
      </c>
      <c r="BB16" s="153">
        <f t="shared" si="33"/>
        <v>101.1931002859522</v>
      </c>
      <c r="BC16" s="544">
        <f t="shared" si="34"/>
        <v>8534.4837521866248</v>
      </c>
      <c r="BD16" s="153">
        <f>('SEP_18&amp;19_04_GAS'!H10+BC16)/1000</f>
        <v>42.164383752186623</v>
      </c>
      <c r="BE16" s="153">
        <f t="shared" si="16"/>
        <v>32.938816587208194</v>
      </c>
      <c r="BF16" s="386">
        <f>'SEP_18&amp;19_04_OLEO'!J9*(AX16/100)</f>
        <v>6.98965E-2</v>
      </c>
      <c r="BG16" s="153">
        <f>'SEP_18&amp;19_04_AGUA'!K10+'5.1 TotalHorario_Acomp18&amp;19_04'!BF16</f>
        <v>6.98965E-2</v>
      </c>
      <c r="BH16" s="589">
        <f t="shared" si="17"/>
        <v>0</v>
      </c>
      <c r="BI16" s="548">
        <f t="shared" si="18"/>
        <v>134.13191687316038</v>
      </c>
      <c r="BJ16" s="546">
        <f t="shared" si="19"/>
        <v>134.13191687316038</v>
      </c>
      <c r="BK16" s="111"/>
      <c r="BL16" s="176">
        <f>IF(AN16=0,"",(Q16/AN16-1))</f>
        <v>0.2518210840450299</v>
      </c>
      <c r="BM16" s="177" t="e">
        <f>(AB16-#REF!)/#REF!</f>
        <v>#REF!</v>
      </c>
      <c r="BN16" s="177" t="e">
        <f>(AC16-BH16)/BH16</f>
        <v>#DIV/0!</v>
      </c>
      <c r="BO16" s="176">
        <f>(AF16-AZ16)/AZ16</f>
        <v>5.7164762624145465E-2</v>
      </c>
      <c r="BP16" s="177">
        <f>(AG16-BD16)/BD16</f>
        <v>-2.6287203880434883E-2</v>
      </c>
      <c r="BQ16" s="178">
        <f>(AH16-BG16)/BG16</f>
        <v>0.47360740523488293</v>
      </c>
      <c r="BR16" s="111"/>
      <c r="BS16" s="111"/>
      <c r="BT16" s="91">
        <f t="shared" si="20"/>
        <v>-25.182108404502983</v>
      </c>
      <c r="BU16" s="761">
        <f t="shared" si="21"/>
        <v>7.0972360000000094</v>
      </c>
      <c r="BV16" s="91">
        <f t="shared" si="22"/>
        <v>100</v>
      </c>
      <c r="BW16" s="761">
        <f t="shared" si="23"/>
        <v>27.784800000000001</v>
      </c>
      <c r="BX16" s="762" t="e">
        <f t="shared" si="24"/>
        <v>#DIV/0!</v>
      </c>
      <c r="BY16" s="92">
        <f t="shared" si="25"/>
        <v>-0.129</v>
      </c>
      <c r="BZ16" s="924">
        <f t="shared" si="26"/>
        <v>-0.62178752900157463</v>
      </c>
      <c r="CA16" s="435">
        <f t="shared" si="36"/>
        <v>-0.88055706878967044</v>
      </c>
      <c r="CB16" s="924">
        <f t="shared" si="27"/>
        <v>-0.7128782647235048</v>
      </c>
      <c r="CC16" s="93">
        <f t="shared" si="2"/>
        <v>-1.0095570687896611</v>
      </c>
      <c r="CD16" s="169" t="str">
        <f t="shared" si="28"/>
        <v>OK</v>
      </c>
      <c r="CE16" s="170" t="str">
        <f t="shared" si="29"/>
        <v>OK</v>
      </c>
      <c r="CG16" s="95">
        <f>IF(Q16="","",Q16-Q15)</f>
        <v>-4.7448048020839906E-2</v>
      </c>
      <c r="CH16" s="76">
        <f>IF(T16="","",T16-T15)</f>
        <v>-4.7448048020839906E-2</v>
      </c>
      <c r="CI16" s="33">
        <f>IF(S16="","",S16-S15)</f>
        <v>0</v>
      </c>
      <c r="CJ16" s="76">
        <f t="shared" si="3"/>
        <v>-9.4896096041679812E-2</v>
      </c>
      <c r="CK16" s="97">
        <f t="shared" si="4"/>
        <v>-9.4896096041679812E-2</v>
      </c>
      <c r="CL16" s="98">
        <f>IF(AN16="","",AN16-AN15)</f>
        <v>-0.13064450000000249</v>
      </c>
      <c r="CM16" s="76">
        <f t="shared" si="30"/>
        <v>0.15790000000000148</v>
      </c>
      <c r="CN16" s="76">
        <f t="shared" si="30"/>
        <v>0</v>
      </c>
      <c r="CO16" s="76">
        <f t="shared" si="5"/>
        <v>2.7255499999998989E-2</v>
      </c>
      <c r="CP16" s="47">
        <f t="shared" si="31"/>
        <v>2.7255499999998989E-2</v>
      </c>
      <c r="CQ16" s="75" t="s">
        <v>12</v>
      </c>
      <c r="CR16" s="96"/>
    </row>
    <row r="17" spans="1:96" ht="24.75" customHeight="1" x14ac:dyDescent="0.25">
      <c r="A17" s="142">
        <v>46130.625</v>
      </c>
      <c r="B17" s="142">
        <v>46130.666666261575</v>
      </c>
      <c r="C17" s="90">
        <f t="shared" si="0"/>
        <v>0.99999027780722827</v>
      </c>
      <c r="D17" s="258" cm="1">
        <f t="array" ref="D17">_xll.PITimeDat('5.1 TotalHorario_Acomp18&amp;19_04'!$D$7,B17,"","interpolated")</f>
        <v>452.76529096800039</v>
      </c>
      <c r="E17" s="258" cm="1">
        <f t="array" ref="E17">_xll.PITimeDat('5.1 TotalHorario_Acomp18&amp;19_04'!$E$7,B17,"","interpolated")</f>
        <v>5.0040819799070158E-2</v>
      </c>
      <c r="F17" s="258" cm="1">
        <f t="array" ref="F17">_xll.PITimeDat('5.1 TotalHorario_Acomp18&amp;19_04'!$F$7,B17,"","interpolated")</f>
        <v>5.0040819799070158E-2</v>
      </c>
      <c r="G17" s="258" cm="1">
        <f t="array" ref="G17">_xll.PITimeDat('5.1 TotalHorario_Acomp18&amp;19_04'!$G$7,B17,"","interpolated")</f>
        <v>6.5746028288458067</v>
      </c>
      <c r="H17" s="669">
        <f>'MPFM_Horario_18&amp;19_04'!O9</f>
        <v>141.15</v>
      </c>
      <c r="I17" s="572">
        <f>'MPFM_Horario_18&amp;19_04'!P9</f>
        <v>0</v>
      </c>
      <c r="J17" s="572">
        <f>'MPFM_Horario_18&amp;19_04'!Q9</f>
        <v>0.129</v>
      </c>
      <c r="K17" s="572">
        <f>'MPFM_Horario_18&amp;19_04'!R9</f>
        <v>141.15</v>
      </c>
      <c r="L17" s="573">
        <f>'MPFM_Horario_18&amp;19_04'!S9</f>
        <v>141.279</v>
      </c>
      <c r="M17" s="670">
        <v>1.00953293661294</v>
      </c>
      <c r="N17" s="235">
        <v>1</v>
      </c>
      <c r="O17" s="235">
        <v>1</v>
      </c>
      <c r="P17" s="673">
        <v>1.00953293661294</v>
      </c>
      <c r="Q17" s="905">
        <f t="shared" si="6"/>
        <v>142.49557400291647</v>
      </c>
      <c r="R17" s="572">
        <f t="shared" si="6"/>
        <v>0</v>
      </c>
      <c r="S17" s="573">
        <f t="shared" si="6"/>
        <v>0.129</v>
      </c>
      <c r="T17" s="906">
        <f t="shared" si="6"/>
        <v>142.49557400291647</v>
      </c>
      <c r="U17" s="573">
        <f t="shared" si="7"/>
        <v>142.62457400291646</v>
      </c>
      <c r="V17" s="394">
        <f>'MPFM_Horario_18&amp;19_04'!AS9</f>
        <v>611.03</v>
      </c>
      <c r="W17" s="239">
        <f>'MPFM_Horario_18&amp;19_04'!AT9</f>
        <v>76.209999999999994</v>
      </c>
      <c r="X17" s="237">
        <f>'MPFM_Horario_18&amp;19_04'!AU9</f>
        <v>633.54</v>
      </c>
      <c r="Y17" s="237">
        <f>'MPFM_Horario_18&amp;19_04'!AV9</f>
        <v>574.29</v>
      </c>
      <c r="Z17" s="238">
        <f>'MPFM_Horario_18&amp;19_04'!AW9</f>
        <v>1142.54</v>
      </c>
      <c r="AA17" s="234">
        <f>'MPFM_Horario_18&amp;19_04'!AI9</f>
        <v>106.73399999999999</v>
      </c>
      <c r="AB17" s="237">
        <f>'MPFM_Horario_18&amp;19_04'!AJ9</f>
        <v>35.756999999999998</v>
      </c>
      <c r="AC17" s="524">
        <f>'MPFM_Horario_18&amp;19_04'!AK9</f>
        <v>0.129</v>
      </c>
      <c r="AD17" s="242">
        <f t="shared" si="8"/>
        <v>142.49099999999999</v>
      </c>
      <c r="AE17" s="250">
        <f t="shared" si="9"/>
        <v>142.61999999999998</v>
      </c>
      <c r="AF17" s="243">
        <f>'MPFM_Horario_18&amp;19_04'!AN9</f>
        <v>124.119</v>
      </c>
      <c r="AG17" s="243">
        <f>'MPFM_Horario_18&amp;19_04'!AO9/1000</f>
        <v>41.055999999999997</v>
      </c>
      <c r="AH17" s="243">
        <f>'MPFM_Horario_18&amp;19_04'!AP9</f>
        <v>0.10299999999999999</v>
      </c>
      <c r="AI17" s="109"/>
      <c r="AJ17" s="91">
        <f>'SEP_18&amp;19_04_OLEO'!E10</f>
        <v>47.59</v>
      </c>
      <c r="AK17" s="94">
        <f>'SEP_18&amp;19_04_OLEO'!D10</f>
        <v>86.504570000000001</v>
      </c>
      <c r="AL17" s="91">
        <v>142.09399999999999</v>
      </c>
      <c r="AM17" s="167">
        <f t="shared" si="32"/>
        <v>801.5</v>
      </c>
      <c r="AN17" s="93">
        <f t="shared" si="10"/>
        <v>113.888341</v>
      </c>
      <c r="AO17" s="735">
        <f t="shared" si="11"/>
        <v>113.04856545999999</v>
      </c>
      <c r="AP17" s="92">
        <f>'SEP_18&amp;19_04_GAS'!I11</f>
        <v>27.589700000000001</v>
      </c>
      <c r="AQ17" s="92">
        <f>'SEP_18&amp;19_04_AGUA'!J11</f>
        <v>0</v>
      </c>
      <c r="AR17" s="92">
        <f>AN17+AP17</f>
        <v>141.47804099999999</v>
      </c>
      <c r="AS17" s="93">
        <f>AN17+AP17+AQ17</f>
        <v>141.47804099999999</v>
      </c>
      <c r="AT17" s="281">
        <f t="shared" si="12"/>
        <v>-0.71921620890727478</v>
      </c>
      <c r="AU17" s="281">
        <f t="shared" si="13"/>
        <v>-0.81039643665724093</v>
      </c>
      <c r="AV17" s="145">
        <v>72.69</v>
      </c>
      <c r="AW17" s="92">
        <v>0.84030000000000005</v>
      </c>
      <c r="AX17" s="93">
        <f t="shared" si="14"/>
        <v>0.05</v>
      </c>
      <c r="AY17" s="545">
        <f>'SEP_18&amp;19_04_OLEO'!J10*(1-AX17/100)</f>
        <v>139.78407300000003</v>
      </c>
      <c r="AZ17" s="153">
        <f t="shared" si="15"/>
        <v>117.46055654190003</v>
      </c>
      <c r="BA17" s="727">
        <v>861.88300000000004</v>
      </c>
      <c r="BB17" s="153">
        <f t="shared" si="33"/>
        <v>101.23725685400244</v>
      </c>
      <c r="BC17" s="544">
        <f t="shared" si="34"/>
        <v>8538.2078550307124</v>
      </c>
      <c r="BD17" s="153">
        <f>('SEP_18&amp;19_04_GAS'!H11+BC17)/1000</f>
        <v>41.932007855030719</v>
      </c>
      <c r="BE17" s="153">
        <f t="shared" si="16"/>
        <v>32.757284536349999</v>
      </c>
      <c r="BF17" s="386">
        <f>'SEP_18&amp;19_04_OLEO'!J10*(AX17/100)</f>
        <v>6.9927000000000003E-2</v>
      </c>
      <c r="BG17" s="153">
        <f>'SEP_18&amp;19_04_AGUA'!K11+'5.1 TotalHorario_Acomp18&amp;19_04'!BF17</f>
        <v>6.9927000000000003E-2</v>
      </c>
      <c r="BH17" s="589">
        <f t="shared" ref="BH15:BH33" si="37">(BG17*0)/1000</f>
        <v>0</v>
      </c>
      <c r="BI17" s="548">
        <f t="shared" si="18"/>
        <v>133.99454139035242</v>
      </c>
      <c r="BJ17" s="546">
        <f t="shared" si="19"/>
        <v>133.99454139035242</v>
      </c>
      <c r="BK17" s="111"/>
      <c r="BL17" s="176"/>
      <c r="BM17" s="177"/>
      <c r="BN17" s="177"/>
      <c r="BO17" s="176"/>
      <c r="BP17" s="177"/>
      <c r="BQ17" s="178"/>
      <c r="BR17" s="111"/>
      <c r="BS17" s="111"/>
      <c r="BT17" s="91">
        <f t="shared" si="20"/>
        <v>-25.11866689050855</v>
      </c>
      <c r="BU17" s="761">
        <f t="shared" si="21"/>
        <v>7.1543410000000023</v>
      </c>
      <c r="BV17" s="91">
        <f t="shared" si="22"/>
        <v>100</v>
      </c>
      <c r="BW17" s="761">
        <f t="shared" si="23"/>
        <v>27.589700000000001</v>
      </c>
      <c r="BX17" s="762" t="e">
        <f t="shared" si="24"/>
        <v>#DIV/0!</v>
      </c>
      <c r="BY17" s="92">
        <f t="shared" si="25"/>
        <v>-0.129</v>
      </c>
      <c r="BZ17" s="924">
        <f t="shared" si="26"/>
        <v>-0.71921620890727478</v>
      </c>
      <c r="CA17" s="435">
        <f t="shared" si="36"/>
        <v>-1.0175330029164797</v>
      </c>
      <c r="CB17" s="924">
        <f t="shared" si="27"/>
        <v>-0.81039643665724093</v>
      </c>
      <c r="CC17" s="93">
        <f t="shared" si="2"/>
        <v>-1.1465330029164704</v>
      </c>
      <c r="CD17" s="169" t="str">
        <f t="shared" si="28"/>
        <v>OK</v>
      </c>
      <c r="CE17" s="170" t="str">
        <f t="shared" si="29"/>
        <v>OK</v>
      </c>
      <c r="CG17" s="95">
        <f>IF(Q17="","",Q17-Q16)</f>
        <v>-2.0190658732133215E-3</v>
      </c>
      <c r="CH17" s="76">
        <f>IF(T17="","",T17-T16)</f>
        <v>-2.0190658732133215E-3</v>
      </c>
      <c r="CI17" s="33">
        <f>IF(S17="","",S17-S16)</f>
        <v>0</v>
      </c>
      <c r="CJ17" s="76">
        <f t="shared" si="3"/>
        <v>-4.0381317464266431E-3</v>
      </c>
      <c r="CK17" s="97">
        <f t="shared" si="4"/>
        <v>-4.0381317464266431E-3</v>
      </c>
      <c r="CL17" s="98">
        <f>IF(AN17="","",AN17-AN16)</f>
        <v>5.6104999999988081E-2</v>
      </c>
      <c r="CM17" s="76">
        <f t="shared" si="30"/>
        <v>-0.19510000000000005</v>
      </c>
      <c r="CN17" s="76">
        <f t="shared" si="30"/>
        <v>0</v>
      </c>
      <c r="CO17" s="76">
        <f t="shared" si="5"/>
        <v>-0.13899500000001197</v>
      </c>
      <c r="CP17" s="47">
        <f t="shared" si="31"/>
        <v>-0.13899500000001197</v>
      </c>
      <c r="CQ17" s="75" t="s">
        <v>12</v>
      </c>
      <c r="CR17" s="96"/>
    </row>
    <row r="18" spans="1:96" ht="24.75" customHeight="1" x14ac:dyDescent="0.25">
      <c r="A18" s="142">
        <v>46130.666666666664</v>
      </c>
      <c r="B18" s="142">
        <v>46130.708332870374</v>
      </c>
      <c r="C18" s="90">
        <f t="shared" si="0"/>
        <v>0.99998888903064653</v>
      </c>
      <c r="D18" s="258" cm="1">
        <f t="array" ref="D18">_xll.PITimeDat('5.1 TotalHorario_Acomp18&amp;19_04'!$D$7,B18,"","interpolated")</f>
        <v>453.66033046062523</v>
      </c>
      <c r="E18" s="258" cm="1">
        <f t="array" ref="E18">_xll.PITimeDat('5.1 TotalHorario_Acomp18&amp;19_04'!$E$7,B18,"","interpolated")</f>
        <v>5.0040690418814565E-2</v>
      </c>
      <c r="F18" s="258" cm="1">
        <f t="array" ref="F18">_xll.PITimeDat('5.1 TotalHorario_Acomp18&amp;19_04'!$F$7,B18,"","interpolated")</f>
        <v>5.0040690418814565E-2</v>
      </c>
      <c r="G18" s="258" cm="1">
        <f t="array" ref="G18">_xll.PITimeDat('5.1 TotalHorario_Acomp18&amp;19_04'!$G$7,B18,"","interpolated")</f>
        <v>6.5814787510380661</v>
      </c>
      <c r="H18" s="669">
        <f>'MPFM_Horario_18&amp;19_04'!O10</f>
        <v>141.17400000000001</v>
      </c>
      <c r="I18" s="572">
        <f>'MPFM_Horario_18&amp;19_04'!P10</f>
        <v>0</v>
      </c>
      <c r="J18" s="572">
        <f>'MPFM_Horario_18&amp;19_04'!Q10</f>
        <v>0.129</v>
      </c>
      <c r="K18" s="572">
        <f>'MPFM_Horario_18&amp;19_04'!R10</f>
        <v>141.17400000000001</v>
      </c>
      <c r="L18" s="573">
        <f>'MPFM_Horario_18&amp;19_04'!S10</f>
        <v>141.303</v>
      </c>
      <c r="M18" s="670">
        <v>1.00953293661294</v>
      </c>
      <c r="N18" s="235">
        <v>1</v>
      </c>
      <c r="O18" s="235">
        <v>1</v>
      </c>
      <c r="P18" s="673">
        <v>1.00953293661294</v>
      </c>
      <c r="Q18" s="905">
        <f t="shared" si="6"/>
        <v>142.5198027933952</v>
      </c>
      <c r="R18" s="572">
        <f t="shared" si="6"/>
        <v>0</v>
      </c>
      <c r="S18" s="573">
        <f>J18*O18</f>
        <v>0.129</v>
      </c>
      <c r="T18" s="906">
        <f t="shared" si="6"/>
        <v>142.5198027933952</v>
      </c>
      <c r="U18" s="573">
        <f t="shared" si="7"/>
        <v>142.64880279339519</v>
      </c>
      <c r="V18" s="394">
        <f>'MPFM_Horario_18&amp;19_04'!AS10</f>
        <v>610.99</v>
      </c>
      <c r="W18" s="239">
        <f>'MPFM_Horario_18&amp;19_04'!AT10</f>
        <v>76.27</v>
      </c>
      <c r="X18" s="237">
        <f>'MPFM_Horario_18&amp;19_04'!AU10</f>
        <v>633.5</v>
      </c>
      <c r="Y18" s="237">
        <f>'MPFM_Horario_18&amp;19_04'!AV10</f>
        <v>574.25</v>
      </c>
      <c r="Z18" s="238">
        <f>'MPFM_Horario_18&amp;19_04'!AW10</f>
        <v>1142.54</v>
      </c>
      <c r="AA18" s="234">
        <f>'MPFM_Horario_18&amp;19_04'!AI10</f>
        <v>106.752</v>
      </c>
      <c r="AB18" s="237">
        <f>'MPFM_Horario_18&amp;19_04'!AJ10</f>
        <v>35.762999999999998</v>
      </c>
      <c r="AC18" s="524">
        <f>'MPFM_Horario_18&amp;19_04'!AK10</f>
        <v>0.129</v>
      </c>
      <c r="AD18" s="242">
        <f t="shared" si="8"/>
        <v>142.51499999999999</v>
      </c>
      <c r="AE18" s="250">
        <f t="shared" si="9"/>
        <v>142.64399999999998</v>
      </c>
      <c r="AF18" s="243">
        <f>'MPFM_Horario_18&amp;19_04'!AN2</f>
        <v>124.27</v>
      </c>
      <c r="AG18" s="243">
        <f>'MPFM_Horario_18&amp;19_04'!AO10/1000</f>
        <v>41.063000000000002</v>
      </c>
      <c r="AH18" s="243">
        <f>'MPFM_Horario_18&amp;19_04'!AP10</f>
        <v>0.10299999999999999</v>
      </c>
      <c r="AI18" s="109"/>
      <c r="AJ18" s="91">
        <f>'SEP_18&amp;19_04_OLEO'!E11</f>
        <v>47.64</v>
      </c>
      <c r="AK18" s="94">
        <f>'SEP_18&amp;19_04_OLEO'!D11</f>
        <v>86.498449999999991</v>
      </c>
      <c r="AL18" s="91">
        <v>141.947</v>
      </c>
      <c r="AM18" s="167">
        <f t="shared" si="32"/>
        <v>801.5</v>
      </c>
      <c r="AN18" s="93">
        <f t="shared" si="10"/>
        <v>113.7705205</v>
      </c>
      <c r="AO18" s="735">
        <f t="shared" si="11"/>
        <v>112.93161373000001</v>
      </c>
      <c r="AP18" s="92">
        <f>'SEP_18&amp;19_04_GAS'!I12</f>
        <v>27.543399999999998</v>
      </c>
      <c r="AQ18" s="92">
        <f>'SEP_18&amp;19_04_AGUA'!J12</f>
        <v>0</v>
      </c>
      <c r="AR18" s="92">
        <f>AN18+AP18</f>
        <v>141.31392049999999</v>
      </c>
      <c r="AS18" s="93">
        <f>AN18+AP18+AQ18</f>
        <v>141.31392049999999</v>
      </c>
      <c r="AT18" s="281">
        <f t="shared" si="12"/>
        <v>-0.85333581371780409</v>
      </c>
      <c r="AU18" s="281">
        <f t="shared" si="13"/>
        <v>-0.94462193722464638</v>
      </c>
      <c r="AV18" s="145">
        <v>72.69</v>
      </c>
      <c r="AW18" s="92">
        <v>0.84030000000000005</v>
      </c>
      <c r="AX18" s="93">
        <f t="shared" si="14"/>
        <v>0.05</v>
      </c>
      <c r="AY18" s="545">
        <f>'SEP_18&amp;19_04_OLEO'!J11*(1-AX18/100)</f>
        <v>139.63114949999999</v>
      </c>
      <c r="AZ18" s="153">
        <f t="shared" si="15"/>
        <v>117.33205492485</v>
      </c>
      <c r="BA18" s="727">
        <v>861.88300000000004</v>
      </c>
      <c r="BB18" s="153">
        <f t="shared" si="33"/>
        <v>101.12650349479449</v>
      </c>
      <c r="BC18" s="544">
        <f t="shared" si="34"/>
        <v>8528.8670724873464</v>
      </c>
      <c r="BD18" s="153">
        <f>('SEP_18&amp;19_04_GAS'!H12+BC18)/1000</f>
        <v>41.866667072487346</v>
      </c>
      <c r="BE18" s="153">
        <f t="shared" si="16"/>
        <v>32.706240317027117</v>
      </c>
      <c r="BF18" s="386">
        <f>'SEP_18&amp;19_04_OLEO'!J11*(AX18/100)</f>
        <v>6.9850499999999996E-2</v>
      </c>
      <c r="BG18" s="153">
        <f>'SEP_18&amp;19_04_AGUA'!K12+'5.1 TotalHorario_Acomp18&amp;19_04'!BF18</f>
        <v>6.9850499999999996E-2</v>
      </c>
      <c r="BH18" s="589">
        <f t="shared" si="37"/>
        <v>0</v>
      </c>
      <c r="BI18" s="548">
        <f t="shared" si="18"/>
        <v>133.83274381182162</v>
      </c>
      <c r="BJ18" s="546">
        <f t="shared" si="19"/>
        <v>133.83274381182162</v>
      </c>
      <c r="BK18" s="111"/>
      <c r="BL18" s="176"/>
      <c r="BM18" s="177"/>
      <c r="BN18" s="177"/>
      <c r="BO18" s="176"/>
      <c r="BP18" s="177"/>
      <c r="BQ18" s="178"/>
      <c r="BR18" s="111"/>
      <c r="BS18" s="111"/>
      <c r="BT18" s="91">
        <f t="shared" si="20"/>
        <v>-25.269535699623695</v>
      </c>
      <c r="BU18" s="761">
        <f t="shared" si="21"/>
        <v>7.0185205000000082</v>
      </c>
      <c r="BV18" s="91">
        <f t="shared" si="22"/>
        <v>100</v>
      </c>
      <c r="BW18" s="761">
        <f t="shared" si="23"/>
        <v>27.543399999999998</v>
      </c>
      <c r="BX18" s="762" t="e">
        <f t="shared" si="24"/>
        <v>#DIV/0!</v>
      </c>
      <c r="BY18" s="92">
        <f t="shared" si="25"/>
        <v>-0.129</v>
      </c>
      <c r="BZ18" s="924">
        <f t="shared" si="26"/>
        <v>-0.85333581371780409</v>
      </c>
      <c r="CA18" s="435">
        <f t="shared" si="36"/>
        <v>-1.2058822933952058</v>
      </c>
      <c r="CB18" s="924">
        <f t="shared" si="27"/>
        <v>-0.94462193722464638</v>
      </c>
      <c r="CC18" s="93">
        <f t="shared" si="2"/>
        <v>-1.3348822933951965</v>
      </c>
      <c r="CD18" s="169" t="str">
        <f t="shared" si="28"/>
        <v>OK</v>
      </c>
      <c r="CE18" s="170" t="str">
        <f t="shared" si="29"/>
        <v>OK</v>
      </c>
      <c r="CG18" s="95">
        <f>IF(Q18="","",Q18-Q17)</f>
        <v>2.4228790478730389E-2</v>
      </c>
      <c r="CH18" s="76">
        <f>IF(T18="","",T18-T17)</f>
        <v>2.4228790478730389E-2</v>
      </c>
      <c r="CI18" s="33">
        <f>IF(S18="","",S18-S17)</f>
        <v>0</v>
      </c>
      <c r="CJ18" s="76">
        <f t="shared" si="3"/>
        <v>4.8457580957460777E-2</v>
      </c>
      <c r="CK18" s="97">
        <f t="shared" si="4"/>
        <v>4.8457580957460777E-2</v>
      </c>
      <c r="CL18" s="98">
        <f>IF(AN18="","",AN18-AN17)</f>
        <v>-0.11782049999999344</v>
      </c>
      <c r="CM18" s="76">
        <f t="shared" si="30"/>
        <v>-4.6300000000002228E-2</v>
      </c>
      <c r="CN18" s="76">
        <f t="shared" si="30"/>
        <v>0</v>
      </c>
      <c r="CO18" s="76">
        <f t="shared" si="5"/>
        <v>-0.16412049999999567</v>
      </c>
      <c r="CP18" s="47">
        <f t="shared" si="31"/>
        <v>-0.16412049999999567</v>
      </c>
      <c r="CQ18" s="75" t="s">
        <v>12</v>
      </c>
      <c r="CR18" s="96"/>
    </row>
    <row r="19" spans="1:96" ht="24.75" customHeight="1" x14ac:dyDescent="0.25">
      <c r="A19" s="142">
        <v>46130.708333333336</v>
      </c>
      <c r="B19" s="142">
        <v>46130.749999479165</v>
      </c>
      <c r="C19" s="90">
        <f t="shared" si="0"/>
        <v>0.99998749990481883</v>
      </c>
      <c r="D19" s="258" cm="1">
        <f t="array" ref="D19">_xll.PITimeDat('5.1 TotalHorario_Acomp18&amp;19_04'!$D$7,B19,"","interpolated")</f>
        <v>453.57686144178359</v>
      </c>
      <c r="E19" s="258" cm="1">
        <f t="array" ref="E19">_xll.PITimeDat('5.1 TotalHorario_Acomp18&amp;19_04'!$E$7,B19,"","interpolated")</f>
        <v>5.0040659158697341E-2</v>
      </c>
      <c r="F19" s="258" cm="1">
        <f t="array" ref="F19">_xll.PITimeDat('5.1 TotalHorario_Acomp18&amp;19_04'!$F$7,B19,"","interpolated")</f>
        <v>5.0040659158697341E-2</v>
      </c>
      <c r="G19" s="258" cm="1">
        <f t="array" ref="G19">_xll.PITimeDat('5.1 TotalHorario_Acomp18&amp;19_04'!$G$7,B19,"","interpolated")</f>
        <v>6.5810720078030815</v>
      </c>
      <c r="H19" s="669">
        <f>'MPFM_Horario_18&amp;19_04'!O11</f>
        <v>141.21</v>
      </c>
      <c r="I19" s="572">
        <f>'MPFM_Horario_18&amp;19_04'!P11</f>
        <v>0</v>
      </c>
      <c r="J19" s="572">
        <f>'MPFM_Horario_18&amp;19_04'!Q11</f>
        <v>0.129</v>
      </c>
      <c r="K19" s="572">
        <f>'MPFM_Horario_18&amp;19_04'!R11</f>
        <v>141.21</v>
      </c>
      <c r="L19" s="573">
        <f>'MPFM_Horario_18&amp;19_04'!S11</f>
        <v>141.339</v>
      </c>
      <c r="M19" s="670">
        <v>1.00953293661294</v>
      </c>
      <c r="N19" s="235">
        <v>1</v>
      </c>
      <c r="O19" s="235">
        <v>1</v>
      </c>
      <c r="P19" s="673">
        <v>1.00953293661294</v>
      </c>
      <c r="Q19" s="905">
        <f t="shared" si="6"/>
        <v>142.55614597911327</v>
      </c>
      <c r="R19" s="572">
        <f t="shared" si="6"/>
        <v>0</v>
      </c>
      <c r="S19" s="573">
        <f t="shared" si="6"/>
        <v>0.129</v>
      </c>
      <c r="T19" s="906">
        <f t="shared" si="6"/>
        <v>142.55614597911327</v>
      </c>
      <c r="U19" s="573">
        <f t="shared" si="7"/>
        <v>142.68514597911326</v>
      </c>
      <c r="V19" s="394">
        <f>'MPFM_Horario_18&amp;19_04'!AS11</f>
        <v>610.94000000000005</v>
      </c>
      <c r="W19" s="239">
        <f>'MPFM_Horario_18&amp;19_04'!AT11</f>
        <v>76.319999999999993</v>
      </c>
      <c r="X19" s="237">
        <f>'MPFM_Horario_18&amp;19_04'!AU11</f>
        <v>633.46</v>
      </c>
      <c r="Y19" s="237">
        <f>'MPFM_Horario_18&amp;19_04'!AV11</f>
        <v>574.21</v>
      </c>
      <c r="Z19" s="238">
        <f>'MPFM_Horario_18&amp;19_04'!AW11</f>
        <v>1142.54</v>
      </c>
      <c r="AA19" s="234">
        <f>'MPFM_Horario_18&amp;19_04'!AI11</f>
        <v>106.779</v>
      </c>
      <c r="AB19" s="237">
        <f>'MPFM_Horario_18&amp;19_04'!AJ11</f>
        <v>35.771999999999998</v>
      </c>
      <c r="AC19" s="524">
        <f>'MPFM_Horario_18&amp;19_04'!AK11</f>
        <v>0.129</v>
      </c>
      <c r="AD19" s="242">
        <f t="shared" si="8"/>
        <v>142.55099999999999</v>
      </c>
      <c r="AE19" s="250">
        <f t="shared" si="9"/>
        <v>142.67999999999998</v>
      </c>
      <c r="AF19" s="243">
        <f>'MPFM_Horario_18&amp;19_04'!AN3</f>
        <v>124.218</v>
      </c>
      <c r="AG19" s="243">
        <f>'MPFM_Horario_18&amp;19_04'!AO11/1000</f>
        <v>41.073</v>
      </c>
      <c r="AH19" s="243">
        <f>'MPFM_Horario_18&amp;19_04'!AP11</f>
        <v>0.104</v>
      </c>
      <c r="AI19" s="109"/>
      <c r="AJ19" s="91">
        <f>'SEP_18&amp;19_04_OLEO'!E12</f>
        <v>47.69</v>
      </c>
      <c r="AK19" s="94">
        <f>'SEP_18&amp;19_04_OLEO'!D12</f>
        <v>86.493319999999997</v>
      </c>
      <c r="AL19" s="91">
        <v>142.137</v>
      </c>
      <c r="AM19" s="167">
        <f t="shared" si="32"/>
        <v>801.4</v>
      </c>
      <c r="AN19" s="93">
        <f t="shared" si="10"/>
        <v>113.9085918</v>
      </c>
      <c r="AO19" s="735">
        <f t="shared" si="11"/>
        <v>113.08277583</v>
      </c>
      <c r="AP19" s="92">
        <f>'SEP_18&amp;19_04_GAS'!I13</f>
        <v>27.486799999999999</v>
      </c>
      <c r="AQ19" s="92">
        <f>'SEP_18&amp;19_04_AGUA'!J13</f>
        <v>0</v>
      </c>
      <c r="AR19" s="92">
        <f>AN19+AP19</f>
        <v>141.3953918</v>
      </c>
      <c r="AS19" s="93">
        <f>AN19+AP19+AQ19</f>
        <v>141.3953918</v>
      </c>
      <c r="AT19" s="281">
        <f t="shared" si="12"/>
        <v>-0.82092787065870199</v>
      </c>
      <c r="AU19" s="281">
        <f t="shared" si="13"/>
        <v>-0.91216139556908793</v>
      </c>
      <c r="AV19" s="145">
        <v>72.69</v>
      </c>
      <c r="AW19" s="92">
        <v>0.84030000000000005</v>
      </c>
      <c r="AX19" s="93">
        <f t="shared" si="14"/>
        <v>0.05</v>
      </c>
      <c r="AY19" s="545">
        <f>'SEP_18&amp;19_04_OLEO'!J12*(1-AX19/100)</f>
        <v>139.81505749999999</v>
      </c>
      <c r="AZ19" s="153">
        <f t="shared" si="15"/>
        <v>117.48659281725</v>
      </c>
      <c r="BA19" s="727">
        <v>861.88300000000004</v>
      </c>
      <c r="BB19" s="153">
        <f t="shared" si="33"/>
        <v>101.25969707710989</v>
      </c>
      <c r="BC19" s="544">
        <f t="shared" si="34"/>
        <v>8540.1004318859013</v>
      </c>
      <c r="BD19" s="153">
        <f>('SEP_18&amp;19_04_GAS'!H13+BC19)/1000</f>
        <v>41.809300431885902</v>
      </c>
      <c r="BE19" s="153">
        <f t="shared" si="16"/>
        <v>32.661425497389267</v>
      </c>
      <c r="BF19" s="386">
        <f>'SEP_18&amp;19_04_OLEO'!J12*(AX19/100)</f>
        <v>6.9942499999999991E-2</v>
      </c>
      <c r="BG19" s="153">
        <f>'SEP_18&amp;19_04_AGUA'!K13+'5.1 TotalHorario_Acomp18&amp;19_04'!BF19</f>
        <v>6.9942499999999991E-2</v>
      </c>
      <c r="BH19" s="589">
        <f t="shared" si="37"/>
        <v>0</v>
      </c>
      <c r="BI19" s="548">
        <f t="shared" si="18"/>
        <v>133.92112257449915</v>
      </c>
      <c r="BJ19" s="546">
        <f t="shared" si="19"/>
        <v>133.92112257449915</v>
      </c>
      <c r="BK19" s="111"/>
      <c r="BL19" s="176"/>
      <c r="BM19" s="177"/>
      <c r="BN19" s="177"/>
      <c r="BO19" s="176"/>
      <c r="BP19" s="177"/>
      <c r="BQ19" s="178"/>
      <c r="BR19" s="111"/>
      <c r="BS19" s="111"/>
      <c r="BT19" s="91">
        <f t="shared" si="20"/>
        <v>-25.149599100840845</v>
      </c>
      <c r="BU19" s="761">
        <f t="shared" si="21"/>
        <v>7.1295918</v>
      </c>
      <c r="BV19" s="91">
        <f t="shared" si="22"/>
        <v>100</v>
      </c>
      <c r="BW19" s="761">
        <f t="shared" si="23"/>
        <v>27.486799999999999</v>
      </c>
      <c r="BX19" s="762" t="e">
        <f t="shared" si="24"/>
        <v>#DIV/0!</v>
      </c>
      <c r="BY19" s="92">
        <f t="shared" si="25"/>
        <v>-0.129</v>
      </c>
      <c r="BZ19" s="924">
        <f t="shared" si="26"/>
        <v>-0.82092787065870199</v>
      </c>
      <c r="CA19" s="435">
        <f t="shared" si="36"/>
        <v>-1.1607541791132689</v>
      </c>
      <c r="CB19" s="924">
        <f t="shared" si="27"/>
        <v>-0.91216139556908793</v>
      </c>
      <c r="CC19" s="93">
        <f t="shared" si="2"/>
        <v>-1.2897541791132596</v>
      </c>
      <c r="CD19" s="169" t="str">
        <f t="shared" si="28"/>
        <v>OK</v>
      </c>
      <c r="CE19" s="170" t="str">
        <f t="shared" si="29"/>
        <v>OK</v>
      </c>
      <c r="CG19" s="95">
        <f>IF(Q19="","",Q19-Q18)</f>
        <v>3.6343185718067161E-2</v>
      </c>
      <c r="CH19" s="76">
        <f>IF(T19="","",T19-T18)</f>
        <v>3.6343185718067161E-2</v>
      </c>
      <c r="CI19" s="33">
        <f>IF(S19="","",S19-S18)</f>
        <v>0</v>
      </c>
      <c r="CJ19" s="76">
        <f t="shared" si="3"/>
        <v>7.2686371436134323E-2</v>
      </c>
      <c r="CK19" s="97">
        <f t="shared" si="4"/>
        <v>7.2686371436134323E-2</v>
      </c>
      <c r="CL19" s="98">
        <f>IF(AN19="","",AN19-AN18)</f>
        <v>0.1380712999999929</v>
      </c>
      <c r="CM19" s="76">
        <f t="shared" si="30"/>
        <v>-5.659999999999954E-2</v>
      </c>
      <c r="CN19" s="76">
        <f t="shared" si="30"/>
        <v>0</v>
      </c>
      <c r="CO19" s="76">
        <f t="shared" si="5"/>
        <v>8.1471299999993363E-2</v>
      </c>
      <c r="CP19" s="47">
        <f t="shared" si="31"/>
        <v>8.1471299999993363E-2</v>
      </c>
      <c r="CQ19" s="75" t="s">
        <v>12</v>
      </c>
      <c r="CR19" s="96"/>
    </row>
    <row r="20" spans="1:96" ht="24.75" customHeight="1" x14ac:dyDescent="0.25">
      <c r="A20" s="142">
        <v>46130.75</v>
      </c>
      <c r="B20" s="142">
        <v>46130.791666087964</v>
      </c>
      <c r="C20" s="90">
        <f t="shared" si="0"/>
        <v>0.9999861111282371</v>
      </c>
      <c r="D20" s="258" cm="1">
        <f t="array" ref="D20">_xll.PITimeDat('5.1 TotalHorario_Acomp18&amp;19_04'!$D$7,B20,"","interpolated")</f>
        <v>453.63306293300201</v>
      </c>
      <c r="E20" s="258" cm="1">
        <f t="array" ref="E20">_xll.PITimeDat('5.1 TotalHorario_Acomp18&amp;19_04'!$E$7,B20,"","interpolated")</f>
        <v>5.0040641724623469E-2</v>
      </c>
      <c r="F20" s="258" cm="1">
        <f t="array" ref="F20">_xll.PITimeDat('5.1 TotalHorario_Acomp18&amp;19_04'!$F$7,B20,"","interpolated")</f>
        <v>5.0040641724623469E-2</v>
      </c>
      <c r="G20" s="258" cm="1">
        <f t="array" ref="G20">_xll.PITimeDat('5.1 TotalHorario_Acomp18&amp;19_04'!$G$7,B20,"","interpolated")</f>
        <v>6.5816184398970101</v>
      </c>
      <c r="H20" s="669">
        <f>'MPFM_Horario_18&amp;19_04'!O12</f>
        <v>141.18899999999999</v>
      </c>
      <c r="I20" s="572">
        <f>'MPFM_Horario_18&amp;19_04'!P12</f>
        <v>0</v>
      </c>
      <c r="J20" s="572">
        <f>'MPFM_Horario_18&amp;19_04'!Q12</f>
        <v>0.129</v>
      </c>
      <c r="K20" s="572">
        <f>'MPFM_Horario_18&amp;19_04'!R12</f>
        <v>141.18899999999999</v>
      </c>
      <c r="L20" s="573">
        <f>'MPFM_Horario_18&amp;19_04'!S12</f>
        <v>141.31800000000001</v>
      </c>
      <c r="M20" s="670">
        <v>1.00953293661294</v>
      </c>
      <c r="N20" s="235">
        <v>1</v>
      </c>
      <c r="O20" s="235">
        <v>1</v>
      </c>
      <c r="P20" s="673">
        <v>1.00953293661294</v>
      </c>
      <c r="Q20" s="905">
        <f t="shared" si="6"/>
        <v>142.53494578744437</v>
      </c>
      <c r="R20" s="572">
        <f t="shared" si="6"/>
        <v>0</v>
      </c>
      <c r="S20" s="573">
        <f t="shared" si="6"/>
        <v>0.129</v>
      </c>
      <c r="T20" s="906">
        <f t="shared" si="6"/>
        <v>142.53494578744437</v>
      </c>
      <c r="U20" s="573">
        <f t="shared" si="7"/>
        <v>142.66394578744436</v>
      </c>
      <c r="V20" s="394">
        <f>'MPFM_Horario_18&amp;19_04'!AS12</f>
        <v>610.9</v>
      </c>
      <c r="W20" s="239">
        <f>'MPFM_Horario_18&amp;19_04'!AT12</f>
        <v>76.36</v>
      </c>
      <c r="X20" s="237">
        <f>'MPFM_Horario_18&amp;19_04'!AU12</f>
        <v>633.42999999999995</v>
      </c>
      <c r="Y20" s="237">
        <f>'MPFM_Horario_18&amp;19_04'!AV12</f>
        <v>574.17999999999995</v>
      </c>
      <c r="Z20" s="238">
        <f>'MPFM_Horario_18&amp;19_04'!AW12</f>
        <v>1142.54</v>
      </c>
      <c r="AA20" s="234">
        <f>'MPFM_Horario_18&amp;19_04'!AI12</f>
        <v>106.76300000000001</v>
      </c>
      <c r="AB20" s="237">
        <f>'MPFM_Horario_18&amp;19_04'!AJ12</f>
        <v>35.767000000000003</v>
      </c>
      <c r="AC20" s="524">
        <f>'MPFM_Horario_18&amp;19_04'!AK12</f>
        <v>0.129</v>
      </c>
      <c r="AD20" s="242">
        <f t="shared" si="8"/>
        <v>142.53</v>
      </c>
      <c r="AE20" s="250">
        <f t="shared" si="9"/>
        <v>142.65899999999999</v>
      </c>
      <c r="AF20" s="243">
        <f>'MPFM_Horario_18&amp;19_04'!AN4</f>
        <v>124.206</v>
      </c>
      <c r="AG20" s="243">
        <f>'MPFM_Horario_18&amp;19_04'!AO12/1000</f>
        <v>41.067</v>
      </c>
      <c r="AH20" s="243">
        <f>'MPFM_Horario_18&amp;19_04'!AP12</f>
        <v>0.104</v>
      </c>
      <c r="AI20" s="109"/>
      <c r="AJ20" s="91">
        <f>'SEP_18&amp;19_04_OLEO'!E13</f>
        <v>47.68</v>
      </c>
      <c r="AK20" s="94">
        <f>'SEP_18&amp;19_04_OLEO'!D13</f>
        <v>86.492670000000004</v>
      </c>
      <c r="AL20" s="91">
        <v>142.35400000000001</v>
      </c>
      <c r="AM20" s="167">
        <f t="shared" si="32"/>
        <v>801.4</v>
      </c>
      <c r="AN20" s="93">
        <f t="shared" si="10"/>
        <v>114.08249560000002</v>
      </c>
      <c r="AO20" s="735">
        <f t="shared" si="11"/>
        <v>113.25541886000002</v>
      </c>
      <c r="AP20" s="92">
        <f>'SEP_18&amp;19_04_GAS'!I14</f>
        <v>27.51</v>
      </c>
      <c r="AQ20" s="92">
        <f>'SEP_18&amp;19_04_AGUA'!J14</f>
        <v>0</v>
      </c>
      <c r="AR20" s="92">
        <f>AN20+AP20</f>
        <v>141.59249560000001</v>
      </c>
      <c r="AS20" s="93">
        <f>AN20+AP20+AQ20</f>
        <v>141.59249560000001</v>
      </c>
      <c r="AT20" s="281">
        <f t="shared" si="12"/>
        <v>-0.66560744158842611</v>
      </c>
      <c r="AU20" s="281">
        <f t="shared" si="13"/>
        <v>-0.7567139648920459</v>
      </c>
      <c r="AV20" s="145">
        <v>72.69</v>
      </c>
      <c r="AW20" s="92">
        <v>0.84030000000000005</v>
      </c>
      <c r="AX20" s="93">
        <f t="shared" si="14"/>
        <v>0.05</v>
      </c>
      <c r="AY20" s="545">
        <f>'SEP_18&amp;19_04_OLEO'!J13*(1-AX20/100)</f>
        <v>140.02695150000002</v>
      </c>
      <c r="AZ20" s="153">
        <f t="shared" si="15"/>
        <v>117.66464734545002</v>
      </c>
      <c r="BA20" s="727">
        <v>861.88300000000004</v>
      </c>
      <c r="BB20" s="153">
        <f t="shared" si="33"/>
        <v>101.4131592480385</v>
      </c>
      <c r="BC20" s="544">
        <f t="shared" si="34"/>
        <v>8553.0432155407616</v>
      </c>
      <c r="BD20" s="153">
        <f>('SEP_18&amp;19_04_GAS'!H14+BC20)/1000</f>
        <v>41.850343215540768</v>
      </c>
      <c r="BE20" s="153">
        <f t="shared" si="16"/>
        <v>32.693488119980451</v>
      </c>
      <c r="BF20" s="386">
        <f>'SEP_18&amp;19_04_OLEO'!J13*(AX20/100)</f>
        <v>7.00485E-2</v>
      </c>
      <c r="BG20" s="153">
        <f>'SEP_18&amp;19_04_AGUA'!K14+'5.1 TotalHorario_Acomp18&amp;19_04'!BF20</f>
        <v>7.00485E-2</v>
      </c>
      <c r="BH20" s="589">
        <f t="shared" si="37"/>
        <v>0</v>
      </c>
      <c r="BI20" s="548">
        <f t="shared" si="18"/>
        <v>134.10664736801894</v>
      </c>
      <c r="BJ20" s="546">
        <f t="shared" si="19"/>
        <v>134.10664736801894</v>
      </c>
      <c r="BK20" s="111"/>
      <c r="BL20" s="176"/>
      <c r="BM20" s="177"/>
      <c r="BN20" s="177"/>
      <c r="BO20" s="176"/>
      <c r="BP20" s="177"/>
      <c r="BQ20" s="178"/>
      <c r="BR20" s="111"/>
      <c r="BS20" s="111"/>
      <c r="BT20" s="91">
        <f t="shared" si="20"/>
        <v>-24.940241741559827</v>
      </c>
      <c r="BU20" s="761">
        <f t="shared" si="21"/>
        <v>7.3194956000000104</v>
      </c>
      <c r="BV20" s="91">
        <f t="shared" si="22"/>
        <v>100</v>
      </c>
      <c r="BW20" s="761">
        <f t="shared" si="23"/>
        <v>27.51</v>
      </c>
      <c r="BX20" s="762" t="e">
        <f t="shared" si="24"/>
        <v>#DIV/0!</v>
      </c>
      <c r="BY20" s="92">
        <f t="shared" si="25"/>
        <v>-0.129</v>
      </c>
      <c r="BZ20" s="924">
        <f t="shared" si="26"/>
        <v>-0.66560744158842611</v>
      </c>
      <c r="CA20" s="435">
        <f t="shared" si="36"/>
        <v>-0.94245018744436493</v>
      </c>
      <c r="CB20" s="924">
        <f t="shared" si="27"/>
        <v>-0.7567139648920459</v>
      </c>
      <c r="CC20" s="93">
        <f t="shared" si="2"/>
        <v>-1.0714501874443556</v>
      </c>
      <c r="CD20" s="169" t="str">
        <f t="shared" si="28"/>
        <v>OK</v>
      </c>
      <c r="CE20" s="170" t="str">
        <f t="shared" si="29"/>
        <v>OK</v>
      </c>
      <c r="CG20" s="95">
        <f>IF(Q20="","",Q20-Q19)</f>
        <v>-2.1200191668896196E-2</v>
      </c>
      <c r="CH20" s="76">
        <f>IF(T20="","",T20-T19)</f>
        <v>-2.1200191668896196E-2</v>
      </c>
      <c r="CI20" s="33">
        <f>IF(S20="","",S20-S19)</f>
        <v>0</v>
      </c>
      <c r="CJ20" s="76">
        <f t="shared" si="3"/>
        <v>-4.2400383337792391E-2</v>
      </c>
      <c r="CK20" s="97">
        <f t="shared" si="4"/>
        <v>-4.2400383337792391E-2</v>
      </c>
      <c r="CL20" s="98">
        <f>IF(AN20="","",AN20-AN19)</f>
        <v>0.17390380000001926</v>
      </c>
      <c r="CM20" s="76">
        <f t="shared" si="30"/>
        <v>2.3200000000002774E-2</v>
      </c>
      <c r="CN20" s="76">
        <f t="shared" si="30"/>
        <v>0</v>
      </c>
      <c r="CO20" s="76">
        <f t="shared" si="5"/>
        <v>0.19710380000002203</v>
      </c>
      <c r="CP20" s="47">
        <f t="shared" si="31"/>
        <v>0.19710380000002203</v>
      </c>
      <c r="CQ20" s="75" t="s">
        <v>12</v>
      </c>
      <c r="CR20" s="96"/>
    </row>
    <row r="21" spans="1:96" ht="24.75" customHeight="1" x14ac:dyDescent="0.25">
      <c r="A21" s="142">
        <v>46130.791666666664</v>
      </c>
      <c r="B21" s="142">
        <v>46130.833332696762</v>
      </c>
      <c r="C21" s="90">
        <f t="shared" si="0"/>
        <v>0.99998472235165536</v>
      </c>
      <c r="D21" s="258" cm="1">
        <f t="array" ref="D21">_xll.PITimeDat('5.1 TotalHorario_Acomp18&amp;19_04'!$D$7,B21,"","interpolated")</f>
        <v>453.28757083905055</v>
      </c>
      <c r="E21" s="258" cm="1">
        <f t="array" ref="E21">_xll.PITimeDat('5.1 TotalHorario_Acomp18&amp;19_04'!$E$7,B21,"","interpolated")</f>
        <v>5.0040681785616874E-2</v>
      </c>
      <c r="F21" s="258" cm="1">
        <f t="array" ref="F21">_xll.PITimeDat('5.1 TotalHorario_Acomp18&amp;19_04'!$F$7,B21,"","interpolated")</f>
        <v>5.0040681785616874E-2</v>
      </c>
      <c r="G21" s="258" cm="1">
        <f t="array" ref="G21">_xll.PITimeDat('5.1 TotalHorario_Acomp18&amp;19_04'!$G$7,B21,"","interpolated")</f>
        <v>6.5792374242919172</v>
      </c>
      <c r="H21" s="669">
        <f>'MPFM_Horario_18&amp;19_04'!O13</f>
        <v>141.20500000000001</v>
      </c>
      <c r="I21" s="572">
        <f>'MPFM_Horario_18&amp;19_04'!P13</f>
        <v>0</v>
      </c>
      <c r="J21" s="572">
        <f>'MPFM_Horario_18&amp;19_04'!Q13</f>
        <v>0.129</v>
      </c>
      <c r="K21" s="572">
        <f>'MPFM_Horario_18&amp;19_04'!R13</f>
        <v>141.20500000000001</v>
      </c>
      <c r="L21" s="573">
        <f>'MPFM_Horario_18&amp;19_04'!S13</f>
        <v>141.333</v>
      </c>
      <c r="M21" s="670">
        <v>1.00953293661294</v>
      </c>
      <c r="N21" s="235">
        <v>1</v>
      </c>
      <c r="O21" s="235">
        <v>1</v>
      </c>
      <c r="P21" s="673">
        <v>1.00953293661294</v>
      </c>
      <c r="Q21" s="905">
        <f t="shared" si="6"/>
        <v>142.55109831443019</v>
      </c>
      <c r="R21" s="572">
        <f t="shared" si="6"/>
        <v>0</v>
      </c>
      <c r="S21" s="573">
        <f t="shared" si="6"/>
        <v>0.129</v>
      </c>
      <c r="T21" s="906">
        <f t="shared" si="6"/>
        <v>142.55109831443019</v>
      </c>
      <c r="U21" s="573">
        <f t="shared" si="7"/>
        <v>142.68009831443018</v>
      </c>
      <c r="V21" s="394">
        <f>'MPFM_Horario_18&amp;19_04'!AS13</f>
        <v>610.87</v>
      </c>
      <c r="W21" s="239">
        <f>'MPFM_Horario_18&amp;19_04'!AT13</f>
        <v>76.400000000000006</v>
      </c>
      <c r="X21" s="237">
        <f>'MPFM_Horario_18&amp;19_04'!AU13</f>
        <v>633.4</v>
      </c>
      <c r="Y21" s="237">
        <f>'MPFM_Horario_18&amp;19_04'!AV13</f>
        <v>574.14</v>
      </c>
      <c r="Z21" s="238">
        <f>'MPFM_Horario_18&amp;19_04'!AW13</f>
        <v>1142.54</v>
      </c>
      <c r="AA21" s="234">
        <f>'MPFM_Horario_18&amp;19_04'!AI13</f>
        <v>106.77500000000001</v>
      </c>
      <c r="AB21" s="237">
        <f>'MPFM_Horario_18&amp;19_04'!AJ13</f>
        <v>35.771000000000001</v>
      </c>
      <c r="AC21" s="524">
        <f>'MPFM_Horario_18&amp;19_04'!AK13</f>
        <v>0.129</v>
      </c>
      <c r="AD21" s="242">
        <f t="shared" si="8"/>
        <v>142.54599999999999</v>
      </c>
      <c r="AE21" s="250">
        <f t="shared" si="9"/>
        <v>142.67499999999998</v>
      </c>
      <c r="AF21" s="243">
        <f>'MPFM_Horario_18&amp;19_04'!AN5</f>
        <v>124.15900000000001</v>
      </c>
      <c r="AG21" s="243">
        <f>'MPFM_Horario_18&amp;19_04'!AO13/1000</f>
        <v>41.072000000000003</v>
      </c>
      <c r="AH21" s="243">
        <f>'MPFM_Horario_18&amp;19_04'!AP13</f>
        <v>0.104</v>
      </c>
      <c r="AI21" s="109"/>
      <c r="AJ21" s="91">
        <f>'SEP_18&amp;19_04_OLEO'!E14</f>
        <v>47.68</v>
      </c>
      <c r="AK21" s="94">
        <f>'SEP_18&amp;19_04_OLEO'!D14</f>
        <v>86.504570000000001</v>
      </c>
      <c r="AL21" s="91">
        <v>142.21600000000001</v>
      </c>
      <c r="AM21" s="167">
        <f t="shared" si="32"/>
        <v>801.4</v>
      </c>
      <c r="AN21" s="93">
        <f t="shared" si="10"/>
        <v>113.9719024</v>
      </c>
      <c r="AO21" s="735">
        <f t="shared" si="11"/>
        <v>113.14562744000001</v>
      </c>
      <c r="AP21" s="92">
        <f>'SEP_18&amp;19_04_GAS'!I15</f>
        <v>27.557300000000001</v>
      </c>
      <c r="AQ21" s="92">
        <f>'SEP_18&amp;19_04_AGUA'!J15</f>
        <v>0</v>
      </c>
      <c r="AR21" s="92">
        <f>AN21+AP21</f>
        <v>141.5292024</v>
      </c>
      <c r="AS21" s="93">
        <f>AN21+AP21+AQ21</f>
        <v>141.5292024</v>
      </c>
      <c r="AT21" s="281">
        <f t="shared" si="12"/>
        <v>-0.72203891288953459</v>
      </c>
      <c r="AU21" s="281">
        <f t="shared" si="13"/>
        <v>-0.81318617989341524</v>
      </c>
      <c r="AV21" s="145">
        <v>72.69</v>
      </c>
      <c r="AW21" s="92">
        <v>0.84030000000000005</v>
      </c>
      <c r="AX21" s="93">
        <f t="shared" si="14"/>
        <v>0.05</v>
      </c>
      <c r="AY21" s="545">
        <f>'SEP_18&amp;19_04_OLEO'!J14*(1-AX21/100)</f>
        <v>139.892019</v>
      </c>
      <c r="AZ21" s="153">
        <f>AY21*AW21</f>
        <v>117.55126356570001</v>
      </c>
      <c r="BA21" s="727">
        <v>861.88300000000004</v>
      </c>
      <c r="BB21" s="153">
        <f t="shared" si="33"/>
        <v>101.31543569579622</v>
      </c>
      <c r="BC21" s="544">
        <f t="shared" si="34"/>
        <v>8544.8013485907341</v>
      </c>
      <c r="BD21" s="153">
        <f>('SEP_18&amp;19_04_GAS'!H15+BC21)/1000</f>
        <v>41.899401348590736</v>
      </c>
      <c r="BE21" s="153">
        <f t="shared" si="16"/>
        <v>32.73181233351908</v>
      </c>
      <c r="BF21" s="386">
        <f>'SEP_18&amp;19_04_OLEO'!J14*(AX21/100)</f>
        <v>6.9981000000000002E-2</v>
      </c>
      <c r="BG21" s="153">
        <f>'SEP_18&amp;19_04_AGUA'!K15+'5.1 TotalHorario_Acomp18&amp;19_04'!BF21</f>
        <v>6.9981000000000002E-2</v>
      </c>
      <c r="BH21" s="589">
        <f t="shared" si="37"/>
        <v>0</v>
      </c>
      <c r="BI21" s="548">
        <f t="shared" si="18"/>
        <v>134.04724802931531</v>
      </c>
      <c r="BJ21" s="546">
        <f t="shared" si="19"/>
        <v>134.04724802931531</v>
      </c>
      <c r="BK21" s="111"/>
      <c r="BL21" s="176"/>
      <c r="BM21" s="177"/>
      <c r="BN21" s="177"/>
      <c r="BO21" s="176"/>
      <c r="BP21" s="177"/>
      <c r="BQ21" s="178"/>
      <c r="BR21" s="111"/>
      <c r="BS21" s="111"/>
      <c r="BT21" s="91">
        <f t="shared" si="20"/>
        <v>-25.075650500355419</v>
      </c>
      <c r="BU21" s="761">
        <f t="shared" si="21"/>
        <v>7.196902399999999</v>
      </c>
      <c r="BV21" s="91">
        <f t="shared" si="22"/>
        <v>100</v>
      </c>
      <c r="BW21" s="761">
        <f t="shared" si="23"/>
        <v>27.557300000000001</v>
      </c>
      <c r="BX21" s="762" t="e">
        <f t="shared" si="24"/>
        <v>#DIV/0!</v>
      </c>
      <c r="BY21" s="92">
        <f t="shared" si="25"/>
        <v>-0.129</v>
      </c>
      <c r="BZ21" s="924">
        <f t="shared" si="26"/>
        <v>-0.72203891288953459</v>
      </c>
      <c r="CA21" s="435">
        <f t="shared" si="36"/>
        <v>-1.0218959144301891</v>
      </c>
      <c r="CB21" s="924">
        <f t="shared" si="27"/>
        <v>-0.81318617989341524</v>
      </c>
      <c r="CC21" s="93">
        <f t="shared" si="2"/>
        <v>-1.1508959144301798</v>
      </c>
      <c r="CD21" s="169" t="str">
        <f t="shared" si="28"/>
        <v>OK</v>
      </c>
      <c r="CE21" s="170" t="str">
        <f t="shared" si="29"/>
        <v>OK</v>
      </c>
      <c r="CG21" s="95">
        <f>IF(Q21="","",Q21-Q20)</f>
        <v>1.6152526985820259E-2</v>
      </c>
      <c r="CH21" s="76">
        <f>IF(T21="","",T21-T20)</f>
        <v>1.6152526985820259E-2</v>
      </c>
      <c r="CI21" s="33">
        <f>IF(S21="","",S21-S20)</f>
        <v>0</v>
      </c>
      <c r="CJ21" s="76">
        <f t="shared" si="3"/>
        <v>3.2305053971640518E-2</v>
      </c>
      <c r="CK21" s="97">
        <f t="shared" si="4"/>
        <v>3.2305053971640518E-2</v>
      </c>
      <c r="CL21" s="98">
        <f>IF(AN21="","",AN21-AN20)</f>
        <v>-0.11059320000001094</v>
      </c>
      <c r="CM21" s="76">
        <f t="shared" si="30"/>
        <v>4.7299999999999898E-2</v>
      </c>
      <c r="CN21" s="76">
        <f t="shared" si="30"/>
        <v>0</v>
      </c>
      <c r="CO21" s="76">
        <f t="shared" si="5"/>
        <v>-6.3293200000011041E-2</v>
      </c>
      <c r="CP21" s="47">
        <f t="shared" si="31"/>
        <v>-6.3293200000011041E-2</v>
      </c>
      <c r="CQ21" s="75" t="s">
        <v>12</v>
      </c>
      <c r="CR21" s="96"/>
    </row>
    <row r="22" spans="1:96" ht="24.75" customHeight="1" x14ac:dyDescent="0.25">
      <c r="A22" s="142">
        <v>46130.833333333336</v>
      </c>
      <c r="B22" s="142">
        <v>46130.874999305554</v>
      </c>
      <c r="C22" s="90">
        <f t="shared" si="0"/>
        <v>0.99998333322582766</v>
      </c>
      <c r="D22" s="258" cm="1">
        <f t="array" ref="D22">_xll.PITimeDat('5.1 TotalHorario_Acomp18&amp;19_04'!$D$7,B22,"","interpolated")</f>
        <v>453.59979219927823</v>
      </c>
      <c r="E22" s="258" cm="1">
        <f t="array" ref="E22">_xll.PITimeDat('5.1 TotalHorario_Acomp18&amp;19_04'!$E$7,B22,"","interpolated")</f>
        <v>5.0040655282431581E-2</v>
      </c>
      <c r="F22" s="258" cm="1">
        <f t="array" ref="F22">_xll.PITimeDat('5.1 TotalHorario_Acomp18&amp;19_04'!$F$7,B22,"","interpolated")</f>
        <v>5.0040655282431581E-2</v>
      </c>
      <c r="G22" s="258" cm="1">
        <f t="array" ref="G22">_xll.PITimeDat('5.1 TotalHorario_Acomp18&amp;19_04'!$G$7,B22,"","interpolated")</f>
        <v>6.5817246302782335</v>
      </c>
      <c r="H22" s="669">
        <f>'MPFM_Horario_18&amp;19_04'!O14</f>
        <v>141.244</v>
      </c>
      <c r="I22" s="572">
        <f>'MPFM_Horario_18&amp;19_04'!P14</f>
        <v>0</v>
      </c>
      <c r="J22" s="572">
        <f>'MPFM_Horario_18&amp;19_04'!Q14</f>
        <v>0.129</v>
      </c>
      <c r="K22" s="572">
        <f>'MPFM_Horario_18&amp;19_04'!R14</f>
        <v>141.244</v>
      </c>
      <c r="L22" s="573">
        <f>'MPFM_Horario_18&amp;19_04'!S14</f>
        <v>141.37299999999999</v>
      </c>
      <c r="M22" s="670">
        <v>1.00953293661294</v>
      </c>
      <c r="N22" s="235">
        <v>1</v>
      </c>
      <c r="O22" s="235">
        <v>1</v>
      </c>
      <c r="P22" s="673">
        <v>1.00953293661294</v>
      </c>
      <c r="Q22" s="905">
        <f t="shared" si="6"/>
        <v>142.59047009895809</v>
      </c>
      <c r="R22" s="572">
        <f t="shared" si="6"/>
        <v>0</v>
      </c>
      <c r="S22" s="573">
        <f t="shared" si="6"/>
        <v>0.129</v>
      </c>
      <c r="T22" s="906">
        <f t="shared" si="6"/>
        <v>142.59047009895809</v>
      </c>
      <c r="U22" s="573">
        <f t="shared" si="7"/>
        <v>142.71947009895808</v>
      </c>
      <c r="V22" s="394">
        <f>'MPFM_Horario_18&amp;19_04'!AS14</f>
        <v>610.82000000000005</v>
      </c>
      <c r="W22" s="239">
        <f>'MPFM_Horario_18&amp;19_04'!AT14</f>
        <v>76.44</v>
      </c>
      <c r="X22" s="237">
        <f>'MPFM_Horario_18&amp;19_04'!AU14</f>
        <v>633.37</v>
      </c>
      <c r="Y22" s="237">
        <f>'MPFM_Horario_18&amp;19_04'!AV14</f>
        <v>574.11</v>
      </c>
      <c r="Z22" s="238">
        <f>'MPFM_Horario_18&amp;19_04'!AW14</f>
        <v>1142.54</v>
      </c>
      <c r="AA22" s="234">
        <f>'MPFM_Horario_18&amp;19_04'!AI14</f>
        <v>106.80500000000001</v>
      </c>
      <c r="AB22" s="237">
        <f>'MPFM_Horario_18&amp;19_04'!AJ14</f>
        <v>35.780999999999999</v>
      </c>
      <c r="AC22" s="524">
        <f>'MPFM_Horario_18&amp;19_04'!AK14</f>
        <v>0.129</v>
      </c>
      <c r="AD22" s="242">
        <f t="shared" si="8"/>
        <v>142.58600000000001</v>
      </c>
      <c r="AE22" s="250">
        <f t="shared" si="9"/>
        <v>142.715</v>
      </c>
      <c r="AF22" s="243">
        <f>'MPFM_Horario_18&amp;19_04'!AN6</f>
        <v>124.142</v>
      </c>
      <c r="AG22" s="243">
        <f>'MPFM_Horario_18&amp;19_04'!AO14/1000</f>
        <v>41.082999999999998</v>
      </c>
      <c r="AH22" s="243">
        <f>'MPFM_Horario_18&amp;19_04'!AP14</f>
        <v>0.104</v>
      </c>
      <c r="AI22" s="109"/>
      <c r="AJ22" s="91">
        <f>'SEP_18&amp;19_04_OLEO'!E15</f>
        <v>47.7</v>
      </c>
      <c r="AK22" s="94">
        <f>'SEP_18&amp;19_04_OLEO'!D15</f>
        <v>86.492660000000001</v>
      </c>
      <c r="AL22" s="91">
        <v>142.31</v>
      </c>
      <c r="AM22" s="167">
        <f t="shared" si="32"/>
        <v>801.4</v>
      </c>
      <c r="AN22" s="93">
        <f t="shared" si="10"/>
        <v>114.047234</v>
      </c>
      <c r="AO22" s="735">
        <f t="shared" si="11"/>
        <v>113.22041290000001</v>
      </c>
      <c r="AP22" s="92">
        <f>'SEP_18&amp;19_04_GAS'!I16</f>
        <v>27.5473</v>
      </c>
      <c r="AQ22" s="92">
        <f>'SEP_18&amp;19_04_AGUA'!J16</f>
        <v>0</v>
      </c>
      <c r="AR22" s="92">
        <f>AN22+AP22</f>
        <v>141.59453400000001</v>
      </c>
      <c r="AS22" s="93">
        <f>AN22+AP22+AQ22</f>
        <v>141.59453400000001</v>
      </c>
      <c r="AT22" s="281">
        <f t="shared" si="12"/>
        <v>-0.70337185399973345</v>
      </c>
      <c r="AU22" s="281">
        <f t="shared" si="13"/>
        <v>-0.79447706573056942</v>
      </c>
      <c r="AV22" s="145">
        <v>72.69</v>
      </c>
      <c r="AW22" s="92">
        <v>0.84030000000000005</v>
      </c>
      <c r="AX22" s="93">
        <f t="shared" si="14"/>
        <v>0.05</v>
      </c>
      <c r="AY22" s="545">
        <f>'SEP_18&amp;19_04_OLEO'!J15*(1-AX22/100)</f>
        <v>139.98397300000002</v>
      </c>
      <c r="AZ22" s="153">
        <f t="shared" ref="AZ22:AZ33" si="38">AY22*AW22</f>
        <v>117.62853251190002</v>
      </c>
      <c r="BA22" s="727">
        <v>861.88300000000004</v>
      </c>
      <c r="BB22" s="153">
        <f t="shared" si="33"/>
        <v>101.38203248695393</v>
      </c>
      <c r="BC22" s="544">
        <f t="shared" si="34"/>
        <v>8550.4180282900124</v>
      </c>
      <c r="BD22" s="153">
        <f>('SEP_18&amp;19_04_GAS'!H16+BC22)/1000</f>
        <v>41.893018028290008</v>
      </c>
      <c r="BE22" s="153">
        <f t="shared" si="16"/>
        <v>32.726825683700156</v>
      </c>
      <c r="BF22" s="386">
        <f>'SEP_18&amp;19_04_OLEO'!J15*(AX22/100)</f>
        <v>7.0027000000000006E-2</v>
      </c>
      <c r="BG22" s="153">
        <f>'SEP_18&amp;19_04_AGUA'!K16+'5.1 TotalHorario_Acomp18&amp;19_04'!BF22</f>
        <v>7.0027000000000006E-2</v>
      </c>
      <c r="BH22" s="589">
        <f t="shared" si="37"/>
        <v>0</v>
      </c>
      <c r="BI22" s="548">
        <f t="shared" si="18"/>
        <v>134.10885817065409</v>
      </c>
      <c r="BJ22" s="546">
        <f t="shared" si="19"/>
        <v>134.10885817065409</v>
      </c>
      <c r="BK22" s="111"/>
      <c r="BL22" s="176"/>
      <c r="BM22" s="177"/>
      <c r="BN22" s="177"/>
      <c r="BO22" s="176"/>
      <c r="BP22" s="177"/>
      <c r="BQ22" s="178"/>
      <c r="BR22" s="111"/>
      <c r="BS22" s="111"/>
      <c r="BT22" s="91">
        <f t="shared" si="20"/>
        <v>-25.027556651622156</v>
      </c>
      <c r="BU22" s="761">
        <f t="shared" si="21"/>
        <v>7.2422339999999963</v>
      </c>
      <c r="BV22" s="91">
        <f t="shared" si="22"/>
        <v>100</v>
      </c>
      <c r="BW22" s="761">
        <f t="shared" si="23"/>
        <v>27.5473</v>
      </c>
      <c r="BX22" s="762" t="e">
        <f t="shared" si="24"/>
        <v>#DIV/0!</v>
      </c>
      <c r="BY22" s="92">
        <f t="shared" si="25"/>
        <v>-0.129</v>
      </c>
      <c r="BZ22" s="924">
        <f t="shared" si="26"/>
        <v>-0.70337185399973345</v>
      </c>
      <c r="CA22" s="435">
        <f t="shared" si="36"/>
        <v>-0.99593609895808299</v>
      </c>
      <c r="CB22" s="924">
        <f t="shared" si="27"/>
        <v>-0.79447706573056942</v>
      </c>
      <c r="CC22" s="93">
        <f t="shared" si="2"/>
        <v>-1.1249360989580737</v>
      </c>
      <c r="CD22" s="169" t="str">
        <f t="shared" si="28"/>
        <v>OK</v>
      </c>
      <c r="CE22" s="170" t="str">
        <f t="shared" si="29"/>
        <v>OK</v>
      </c>
      <c r="CG22" s="95">
        <f>IF(Q22="","",Q22-Q21)</f>
        <v>3.9371784527901355E-2</v>
      </c>
      <c r="CH22" s="76">
        <f>IF(T22="","",T22-T21)</f>
        <v>3.9371784527901355E-2</v>
      </c>
      <c r="CI22" s="33">
        <f>IF(S22="","",S22-S21)</f>
        <v>0</v>
      </c>
      <c r="CJ22" s="76">
        <f t="shared" si="3"/>
        <v>7.8743569055802709E-2</v>
      </c>
      <c r="CK22" s="97">
        <f t="shared" si="4"/>
        <v>7.8743569055802709E-2</v>
      </c>
      <c r="CL22" s="98">
        <f>IF(AN22="","",AN22-AN21)</f>
        <v>7.5331599999998389E-2</v>
      </c>
      <c r="CM22" s="76">
        <f t="shared" si="30"/>
        <v>-1.0000000000001563E-2</v>
      </c>
      <c r="CN22" s="76">
        <f t="shared" si="30"/>
        <v>0</v>
      </c>
      <c r="CO22" s="76">
        <f t="shared" si="5"/>
        <v>6.5331599999996826E-2</v>
      </c>
      <c r="CP22" s="47">
        <f t="shared" si="31"/>
        <v>6.5331599999996826E-2</v>
      </c>
      <c r="CQ22" s="75" t="s">
        <v>12</v>
      </c>
      <c r="CR22" s="96"/>
    </row>
    <row r="23" spans="1:96" ht="24.75" customHeight="1" x14ac:dyDescent="0.25">
      <c r="A23" s="142">
        <v>46130.875</v>
      </c>
      <c r="B23" s="142">
        <v>46130.916665914352</v>
      </c>
      <c r="C23" s="90">
        <f t="shared" si="0"/>
        <v>0.99998194444924593</v>
      </c>
      <c r="D23" s="258" cm="1">
        <f t="array" ref="D23">_xll.PITimeDat('5.1 TotalHorario_Acomp18&amp;19_04'!$D$7,B23,"","interpolated")</f>
        <v>453.67596945943251</v>
      </c>
      <c r="E23" s="258" cm="1">
        <f t="array" ref="E23">_xll.PITimeDat('5.1 TotalHorario_Acomp18&amp;19_04'!$E$7,B23,"","interpolated")</f>
        <v>5.0040598338118608E-2</v>
      </c>
      <c r="F23" s="258" cm="1">
        <f t="array" ref="F23">_xll.PITimeDat('5.1 TotalHorario_Acomp18&amp;19_04'!$F$7,B23,"","interpolated")</f>
        <v>5.0040598338118608E-2</v>
      </c>
      <c r="G23" s="258" cm="1">
        <f t="array" ref="G23">_xll.PITimeDat('5.1 TotalHorario_Acomp18&amp;19_04'!$G$7,B23,"","interpolated")</f>
        <v>6.5824456366388651</v>
      </c>
      <c r="H23" s="669">
        <f>'MPFM_Horario_18&amp;19_04'!O15</f>
        <v>141.239</v>
      </c>
      <c r="I23" s="572">
        <f>'MPFM_Horario_18&amp;19_04'!P15</f>
        <v>0</v>
      </c>
      <c r="J23" s="572">
        <f>'MPFM_Horario_18&amp;19_04'!Q15</f>
        <v>0.129</v>
      </c>
      <c r="K23" s="572">
        <f>'MPFM_Horario_18&amp;19_04'!R15</f>
        <v>141.239</v>
      </c>
      <c r="L23" s="573">
        <f>'MPFM_Horario_18&amp;19_04'!S15</f>
        <v>141.36799999999999</v>
      </c>
      <c r="M23" s="670">
        <v>1.00953293661294</v>
      </c>
      <c r="N23" s="235">
        <v>1</v>
      </c>
      <c r="O23" s="235">
        <v>1</v>
      </c>
      <c r="P23" s="673">
        <v>1.00953293661294</v>
      </c>
      <c r="Q23" s="905">
        <f t="shared" si="6"/>
        <v>142.58542243427505</v>
      </c>
      <c r="R23" s="572">
        <f t="shared" si="6"/>
        <v>0</v>
      </c>
      <c r="S23" s="573">
        <f t="shared" si="6"/>
        <v>0.129</v>
      </c>
      <c r="T23" s="906">
        <f t="shared" si="6"/>
        <v>142.58542243427505</v>
      </c>
      <c r="U23" s="573">
        <f t="shared" si="7"/>
        <v>142.71442243427504</v>
      </c>
      <c r="V23" s="394">
        <f>'MPFM_Horario_18&amp;19_04'!AS15</f>
        <v>610.78</v>
      </c>
      <c r="W23" s="239">
        <f>'MPFM_Horario_18&amp;19_04'!AT15</f>
        <v>76.489999999999995</v>
      </c>
      <c r="X23" s="237">
        <f>'MPFM_Horario_18&amp;19_04'!AU15</f>
        <v>633.33000000000004</v>
      </c>
      <c r="Y23" s="237">
        <f>'MPFM_Horario_18&amp;19_04'!AV15</f>
        <v>574.07000000000005</v>
      </c>
      <c r="Z23" s="238">
        <f>'MPFM_Horario_18&amp;19_04'!AW15</f>
        <v>1142.54</v>
      </c>
      <c r="AA23" s="234">
        <f>'MPFM_Horario_18&amp;19_04'!AI15</f>
        <v>106.801</v>
      </c>
      <c r="AB23" s="237">
        <f>'MPFM_Horario_18&amp;19_04'!AJ15</f>
        <v>35.78</v>
      </c>
      <c r="AC23" s="524">
        <f>'MPFM_Horario_18&amp;19_04'!AK15</f>
        <v>0.129</v>
      </c>
      <c r="AD23" s="242">
        <f t="shared" si="8"/>
        <v>142.58100000000002</v>
      </c>
      <c r="AE23" s="250">
        <f t="shared" si="9"/>
        <v>142.71</v>
      </c>
      <c r="AF23" s="243">
        <f>'MPFM_Horario_18&amp;19_04'!AN7</f>
        <v>124.16200000000001</v>
      </c>
      <c r="AG23" s="243">
        <f>'MPFM_Horario_18&amp;19_04'!AO15/1000</f>
        <v>41.082000000000001</v>
      </c>
      <c r="AH23" s="243">
        <f>'MPFM_Horario_18&amp;19_04'!AP15</f>
        <v>0.104</v>
      </c>
      <c r="AI23" s="109"/>
      <c r="AJ23" s="91">
        <f>'SEP_18&amp;19_04_OLEO'!E16</f>
        <v>47.76</v>
      </c>
      <c r="AK23" s="94">
        <f>'SEP_18&amp;19_04_OLEO'!D16</f>
        <v>86.493899999999996</v>
      </c>
      <c r="AL23" s="91">
        <v>142.18100000000001</v>
      </c>
      <c r="AM23" s="167">
        <f t="shared" si="32"/>
        <v>801.4</v>
      </c>
      <c r="AN23" s="93">
        <f t="shared" si="10"/>
        <v>113.94385340000001</v>
      </c>
      <c r="AO23" s="735">
        <f t="shared" si="11"/>
        <v>113.11778179000001</v>
      </c>
      <c r="AP23" s="92">
        <f>'SEP_18&amp;19_04_GAS'!I17</f>
        <v>27.6067</v>
      </c>
      <c r="AQ23" s="92">
        <f>'SEP_18&amp;19_04_AGUA'!J17</f>
        <v>0</v>
      </c>
      <c r="AR23" s="92">
        <f>AN23+AP23</f>
        <v>141.55055340000001</v>
      </c>
      <c r="AS23" s="93">
        <f>AN23+AP23+AQ23</f>
        <v>141.55055340000001</v>
      </c>
      <c r="AT23" s="281">
        <f t="shared" si="12"/>
        <v>-0.73109501122941778</v>
      </c>
      <c r="AU23" s="281">
        <f t="shared" si="13"/>
        <v>-0.82222852989215067</v>
      </c>
      <c r="AV23" s="145">
        <v>72.69</v>
      </c>
      <c r="AW23" s="92">
        <v>0.84030000000000005</v>
      </c>
      <c r="AX23" s="93">
        <f t="shared" si="14"/>
        <v>0.05</v>
      </c>
      <c r="AY23" s="545">
        <f>'SEP_18&amp;19_04_OLEO'!J16*(1-AX23/100)</f>
        <v>139.84804100000002</v>
      </c>
      <c r="AZ23" s="153">
        <f t="shared" si="38"/>
        <v>117.51430885230003</v>
      </c>
      <c r="BA23" s="727">
        <v>861.88300000000004</v>
      </c>
      <c r="BB23" s="153">
        <f t="shared" si="33"/>
        <v>101.28358505654691</v>
      </c>
      <c r="BC23" s="544">
        <f t="shared" si="34"/>
        <v>8542.1151104736891</v>
      </c>
      <c r="BD23" s="153">
        <f>('SEP_18&amp;19_04_GAS'!H17+BC23)/1000</f>
        <v>41.956415110473692</v>
      </c>
      <c r="BE23" s="153">
        <f t="shared" si="16"/>
        <v>32.776351484302047</v>
      </c>
      <c r="BF23" s="386">
        <f>'SEP_18&amp;19_04_OLEO'!J16*(AX23/100)</f>
        <v>6.9959000000000007E-2</v>
      </c>
      <c r="BG23" s="153">
        <f>'SEP_18&amp;19_04_AGUA'!K17+'5.1 TotalHorario_Acomp18&amp;19_04'!BF23</f>
        <v>6.9959000000000007E-2</v>
      </c>
      <c r="BH23" s="589">
        <f t="shared" si="37"/>
        <v>0</v>
      </c>
      <c r="BI23" s="548">
        <f t="shared" si="18"/>
        <v>134.05993654084895</v>
      </c>
      <c r="BJ23" s="546">
        <f t="shared" si="19"/>
        <v>134.05993654084895</v>
      </c>
      <c r="BK23" s="111"/>
      <c r="BL23" s="176"/>
      <c r="BM23" s="177"/>
      <c r="BN23" s="177"/>
      <c r="BO23" s="176"/>
      <c r="BP23" s="177"/>
      <c r="BQ23" s="178"/>
      <c r="BR23" s="111"/>
      <c r="BS23" s="111"/>
      <c r="BT23" s="91">
        <f t="shared" si="20"/>
        <v>-25.136563473703827</v>
      </c>
      <c r="BU23" s="761">
        <f t="shared" si="21"/>
        <v>7.142853400000007</v>
      </c>
      <c r="BV23" s="91">
        <f t="shared" si="22"/>
        <v>100</v>
      </c>
      <c r="BW23" s="761">
        <f t="shared" si="23"/>
        <v>27.6067</v>
      </c>
      <c r="BX23" s="762" t="e">
        <f t="shared" si="24"/>
        <v>#DIV/0!</v>
      </c>
      <c r="BY23" s="92">
        <f t="shared" si="25"/>
        <v>-0.129</v>
      </c>
      <c r="BZ23" s="924">
        <f t="shared" si="26"/>
        <v>-0.73109501122941778</v>
      </c>
      <c r="CA23" s="435">
        <f t="shared" si="36"/>
        <v>-1.0348690342750331</v>
      </c>
      <c r="CB23" s="924">
        <f t="shared" si="27"/>
        <v>-0.82222852989215067</v>
      </c>
      <c r="CC23" s="93">
        <f t="shared" si="2"/>
        <v>-1.1638690342750238</v>
      </c>
      <c r="CD23" s="169" t="str">
        <f t="shared" si="28"/>
        <v>OK</v>
      </c>
      <c r="CE23" s="170" t="str">
        <f t="shared" si="29"/>
        <v>OK</v>
      </c>
      <c r="CG23" s="95">
        <f>IF(Q23="","",Q23-Q22)</f>
        <v>-5.0476646830475147E-3</v>
      </c>
      <c r="CH23" s="76">
        <f>IF(T23="","",T23-T22)</f>
        <v>-5.0476646830475147E-3</v>
      </c>
      <c r="CI23" s="33">
        <f>IF(S23="","",S23-S22)</f>
        <v>0</v>
      </c>
      <c r="CJ23" s="76">
        <f t="shared" si="3"/>
        <v>-1.0095329366095029E-2</v>
      </c>
      <c r="CK23" s="97">
        <f t="shared" si="4"/>
        <v>-1.0095329366095029E-2</v>
      </c>
      <c r="CL23" s="98">
        <f>IF(AN23="","",AN23-AN22)</f>
        <v>-0.10338059999999416</v>
      </c>
      <c r="CM23" s="76">
        <f t="shared" si="30"/>
        <v>5.9400000000000119E-2</v>
      </c>
      <c r="CN23" s="76">
        <f t="shared" si="30"/>
        <v>0</v>
      </c>
      <c r="CO23" s="76">
        <f t="shared" si="5"/>
        <v>-4.3980599999994041E-2</v>
      </c>
      <c r="CP23" s="47">
        <f t="shared" si="31"/>
        <v>-4.3980599999994041E-2</v>
      </c>
      <c r="CQ23" s="75" t="s">
        <v>12</v>
      </c>
      <c r="CR23" s="96"/>
    </row>
    <row r="24" spans="1:96" ht="24.75" customHeight="1" x14ac:dyDescent="0.25">
      <c r="A24" s="142">
        <v>46130.916666666664</v>
      </c>
      <c r="B24" s="142">
        <v>46130.958332523151</v>
      </c>
      <c r="C24" s="90">
        <f t="shared" si="0"/>
        <v>0.9999805556726642</v>
      </c>
      <c r="D24" s="258" cm="1">
        <f t="array" ref="D24">_xll.PITimeDat('5.1 TotalHorario_Acomp18&amp;19_04'!$D$7,B24,"","interpolated")</f>
        <v>453.47765126370456</v>
      </c>
      <c r="E24" s="258" cm="1">
        <f t="array" ref="E24">_xll.PITimeDat('5.1 TotalHorario_Acomp18&amp;19_04'!$E$7,B24,"","interpolated")</f>
        <v>5.0040616824381302E-2</v>
      </c>
      <c r="F24" s="258" cm="1">
        <f t="array" ref="F24">_xll.PITimeDat('5.1 TotalHorario_Acomp18&amp;19_04'!$F$7,B24,"","interpolated")</f>
        <v>5.0040616824381302E-2</v>
      </c>
      <c r="G24" s="258" cm="1">
        <f t="array" ref="G24">_xll.PITimeDat('5.1 TotalHorario_Acomp18&amp;19_04'!$G$7,B24,"","interpolated")</f>
        <v>6.5810901238458914</v>
      </c>
      <c r="H24" s="669">
        <f>'MPFM_Horario_18&amp;19_04'!O16</f>
        <v>141.25800000000001</v>
      </c>
      <c r="I24" s="572">
        <f>'MPFM_Horario_18&amp;19_04'!P16</f>
        <v>0</v>
      </c>
      <c r="J24" s="572">
        <f>'MPFM_Horario_18&amp;19_04'!Q16</f>
        <v>0.129</v>
      </c>
      <c r="K24" s="572">
        <f>'MPFM_Horario_18&amp;19_04'!R16</f>
        <v>141.25800000000001</v>
      </c>
      <c r="L24" s="573">
        <f>'MPFM_Horario_18&amp;19_04'!S16</f>
        <v>141.387</v>
      </c>
      <c r="M24" s="670">
        <v>1.00953293661294</v>
      </c>
      <c r="N24" s="235">
        <v>1</v>
      </c>
      <c r="O24" s="235">
        <v>1</v>
      </c>
      <c r="P24" s="673">
        <v>1.00953293661294</v>
      </c>
      <c r="Q24" s="905">
        <f t="shared" si="6"/>
        <v>142.60460356007067</v>
      </c>
      <c r="R24" s="572">
        <f t="shared" si="6"/>
        <v>0</v>
      </c>
      <c r="S24" s="573">
        <f t="shared" si="6"/>
        <v>0.129</v>
      </c>
      <c r="T24" s="906">
        <f t="shared" si="6"/>
        <v>142.60460356007067</v>
      </c>
      <c r="U24" s="573">
        <f t="shared" si="7"/>
        <v>142.73360356007066</v>
      </c>
      <c r="V24" s="394">
        <f>'MPFM_Horario_18&amp;19_04'!AS16</f>
        <v>610.75</v>
      </c>
      <c r="W24" s="239">
        <f>'MPFM_Horario_18&amp;19_04'!AT16</f>
        <v>76.510000000000005</v>
      </c>
      <c r="X24" s="237">
        <f>'MPFM_Horario_18&amp;19_04'!AU16</f>
        <v>633.30999999999995</v>
      </c>
      <c r="Y24" s="237">
        <f>'MPFM_Horario_18&amp;19_04'!AV16</f>
        <v>574.04999999999995</v>
      </c>
      <c r="Z24" s="238">
        <f>'MPFM_Horario_18&amp;19_04'!AW16</f>
        <v>1142.54</v>
      </c>
      <c r="AA24" s="234">
        <f>'MPFM_Horario_18&amp;19_04'!AI16</f>
        <v>106.816</v>
      </c>
      <c r="AB24" s="237">
        <f>'MPFM_Horario_18&amp;19_04'!AJ16</f>
        <v>35.784999999999997</v>
      </c>
      <c r="AC24" s="524">
        <f>'MPFM_Horario_18&amp;19_04'!AK16</f>
        <v>0.129</v>
      </c>
      <c r="AD24" s="242">
        <f t="shared" si="8"/>
        <v>142.601</v>
      </c>
      <c r="AE24" s="250">
        <f t="shared" si="9"/>
        <v>142.72999999999999</v>
      </c>
      <c r="AF24" s="243">
        <f>'MPFM_Horario_18&amp;19_04'!AN8</f>
        <v>124.121</v>
      </c>
      <c r="AG24" s="243">
        <f>'MPFM_Horario_18&amp;19_04'!AO16/1000</f>
        <v>41.087000000000003</v>
      </c>
      <c r="AH24" s="243">
        <f>'MPFM_Horario_18&amp;19_04'!AP16</f>
        <v>0.104</v>
      </c>
      <c r="AI24" s="109"/>
      <c r="AJ24" s="91">
        <f>'SEP_18&amp;19_04_OLEO'!E17</f>
        <v>47.85</v>
      </c>
      <c r="AK24" s="94">
        <f>'SEP_18&amp;19_04_OLEO'!D17</f>
        <v>86.494920000000008</v>
      </c>
      <c r="AL24" s="91">
        <v>142.202</v>
      </c>
      <c r="AM24" s="167">
        <f t="shared" si="32"/>
        <v>801.4</v>
      </c>
      <c r="AN24" s="93">
        <f t="shared" si="10"/>
        <v>113.9606828</v>
      </c>
      <c r="AO24" s="735">
        <f t="shared" si="11"/>
        <v>113.13448918</v>
      </c>
      <c r="AP24" s="92">
        <f>'SEP_18&amp;19_04_GAS'!I18</f>
        <v>27.657399999999999</v>
      </c>
      <c r="AQ24" s="92">
        <f>'SEP_18&amp;19_04_AGUA'!J18</f>
        <v>0</v>
      </c>
      <c r="AR24" s="92">
        <f>AN24+AP24</f>
        <v>141.6180828</v>
      </c>
      <c r="AS24" s="93">
        <f>AN24+AP24+AQ24</f>
        <v>141.6180828</v>
      </c>
      <c r="AT24" s="281">
        <f t="shared" si="12"/>
        <v>-0.69660649301677691</v>
      </c>
      <c r="AU24" s="281">
        <f t="shared" si="13"/>
        <v>-0.78769655542227557</v>
      </c>
      <c r="AV24" s="145">
        <v>72.69</v>
      </c>
      <c r="AW24" s="92">
        <v>0.84030000000000005</v>
      </c>
      <c r="AX24" s="93">
        <f t="shared" si="14"/>
        <v>0.05</v>
      </c>
      <c r="AY24" s="545">
        <f>'SEP_18&amp;19_04_OLEO'!J17*(1-AX24/100)</f>
        <v>139.86003500000001</v>
      </c>
      <c r="AZ24" s="153">
        <f t="shared" si="38"/>
        <v>117.52438741050001</v>
      </c>
      <c r="BA24" s="727">
        <v>861.88300000000004</v>
      </c>
      <c r="BB24" s="153">
        <f t="shared" si="33"/>
        <v>101.292271594524</v>
      </c>
      <c r="BC24" s="544">
        <f t="shared" si="34"/>
        <v>8542.8477208692457</v>
      </c>
      <c r="BD24" s="153">
        <f>('SEP_18&amp;19_04_GAS'!H18+BC24)/1000</f>
        <v>42.018647720869254</v>
      </c>
      <c r="BE24" s="153">
        <f t="shared" si="16"/>
        <v>32.824967599543058</v>
      </c>
      <c r="BF24" s="386">
        <f>'SEP_18&amp;19_04_OLEO'!J17*(AX24/100)</f>
        <v>6.9964999999999999E-2</v>
      </c>
      <c r="BG24" s="153">
        <f>'SEP_18&amp;19_04_AGUA'!K18+'5.1 TotalHorario_Acomp18&amp;19_04'!BF24</f>
        <v>6.9964999999999999E-2</v>
      </c>
      <c r="BH24" s="589">
        <f t="shared" si="37"/>
        <v>0</v>
      </c>
      <c r="BI24" s="548">
        <f>BB24+BE24</f>
        <v>134.11723919406705</v>
      </c>
      <c r="BJ24" s="546">
        <f>BI24+BH24</f>
        <v>134.11723919406705</v>
      </c>
      <c r="BK24" s="111"/>
      <c r="BL24" s="176"/>
      <c r="BM24" s="177"/>
      <c r="BN24" s="177"/>
      <c r="BO24" s="176"/>
      <c r="BP24" s="177"/>
      <c r="BQ24" s="178"/>
      <c r="BR24" s="111"/>
      <c r="BS24" s="111"/>
      <c r="BT24" s="91">
        <f t="shared" si="20"/>
        <v>-25.134915004274326</v>
      </c>
      <c r="BU24" s="761">
        <f t="shared" si="21"/>
        <v>7.1446827999999982</v>
      </c>
      <c r="BV24" s="91">
        <f t="shared" si="22"/>
        <v>100</v>
      </c>
      <c r="BW24" s="761">
        <f t="shared" si="23"/>
        <v>27.657399999999999</v>
      </c>
      <c r="BX24" s="762" t="e">
        <f t="shared" si="24"/>
        <v>#DIV/0!</v>
      </c>
      <c r="BY24" s="92">
        <f t="shared" si="25"/>
        <v>-0.129</v>
      </c>
      <c r="BZ24" s="924">
        <f t="shared" si="26"/>
        <v>-0.69660649301677691</v>
      </c>
      <c r="CA24" s="435">
        <f t="shared" si="36"/>
        <v>-0.98652076007067535</v>
      </c>
      <c r="CB24" s="924">
        <f t="shared" si="27"/>
        <v>-0.78769655542227557</v>
      </c>
      <c r="CC24" s="93">
        <f t="shared" si="2"/>
        <v>-1.115520760070666</v>
      </c>
      <c r="CD24" s="169" t="str">
        <f t="shared" si="28"/>
        <v>OK</v>
      </c>
      <c r="CE24" s="170" t="str">
        <f t="shared" si="29"/>
        <v>OK</v>
      </c>
      <c r="CG24" s="95">
        <f>IF(Q24="","",Q24-Q23)</f>
        <v>1.9181125795626031E-2</v>
      </c>
      <c r="CH24" s="76">
        <f>IF(T24="","",T24-T23)</f>
        <v>1.9181125795626031E-2</v>
      </c>
      <c r="CI24" s="33">
        <f>IF(S24="","",S24-S23)</f>
        <v>0</v>
      </c>
      <c r="CJ24" s="76">
        <f t="shared" si="3"/>
        <v>3.8362251591252061E-2</v>
      </c>
      <c r="CK24" s="97">
        <f t="shared" si="4"/>
        <v>3.8362251591252061E-2</v>
      </c>
      <c r="CL24" s="98">
        <f>IF(AN24="","",AN24-AN23)</f>
        <v>1.6829399999991779E-2</v>
      </c>
      <c r="CM24" s="76">
        <f t="shared" si="30"/>
        <v>5.0699999999999079E-2</v>
      </c>
      <c r="CN24" s="76">
        <f t="shared" si="30"/>
        <v>0</v>
      </c>
      <c r="CO24" s="76">
        <f t="shared" si="5"/>
        <v>6.7529399999990858E-2</v>
      </c>
      <c r="CP24" s="47">
        <f t="shared" si="31"/>
        <v>6.7529399999990858E-2</v>
      </c>
      <c r="CQ24" s="75" t="s">
        <v>12</v>
      </c>
      <c r="CR24" s="96"/>
    </row>
    <row r="25" spans="1:96" ht="24.75" customHeight="1" x14ac:dyDescent="0.25">
      <c r="A25" s="142">
        <v>46130.958333333336</v>
      </c>
      <c r="B25" s="142">
        <v>46130.999999131942</v>
      </c>
      <c r="C25" s="90">
        <f t="shared" si="0"/>
        <v>0.9999791665468365</v>
      </c>
      <c r="D25" s="258" cm="1">
        <f t="array" ref="D25">_xll.PITimeDat('5.1 TotalHorario_Acomp18&amp;19_04'!$D$7,B25,"","interpolated")</f>
        <v>454.10895394185161</v>
      </c>
      <c r="E25" s="258" cm="1">
        <f t="array" ref="E25">_xll.PITimeDat('5.1 TotalHorario_Acomp18&amp;19_04'!$E$7,B25,"","interpolated")</f>
        <v>5.004060092689637E-2</v>
      </c>
      <c r="F25" s="258" cm="1">
        <f t="array" ref="F25">_xll.PITimeDat('5.1 TotalHorario_Acomp18&amp;19_04'!$F$7,B25,"","interpolated")</f>
        <v>5.004060092689637E-2</v>
      </c>
      <c r="G25" s="258" cm="1">
        <f t="array" ref="G25">_xll.PITimeDat('5.1 TotalHorario_Acomp18&amp;19_04'!$G$7,B25,"","interpolated")</f>
        <v>6.5859828957104041</v>
      </c>
      <c r="H25" s="669">
        <f>'MPFM_Horario_18&amp;19_04'!O17</f>
        <v>141.208</v>
      </c>
      <c r="I25" s="572">
        <f>'MPFM_Horario_18&amp;19_04'!P17</f>
        <v>0</v>
      </c>
      <c r="J25" s="572">
        <f>'MPFM_Horario_18&amp;19_04'!Q17</f>
        <v>0.129</v>
      </c>
      <c r="K25" s="572">
        <f>'MPFM_Horario_18&amp;19_04'!R17</f>
        <v>141.208</v>
      </c>
      <c r="L25" s="573">
        <f>'MPFM_Horario_18&amp;19_04'!S17</f>
        <v>141.33699999999999</v>
      </c>
      <c r="M25" s="670">
        <v>1.00953293661294</v>
      </c>
      <c r="N25" s="235">
        <v>1</v>
      </c>
      <c r="O25" s="235">
        <v>1</v>
      </c>
      <c r="P25" s="673">
        <v>1.00953293661294</v>
      </c>
      <c r="Q25" s="905">
        <f t="shared" si="6"/>
        <v>142.55412691324003</v>
      </c>
      <c r="R25" s="572">
        <f t="shared" si="6"/>
        <v>0</v>
      </c>
      <c r="S25" s="573">
        <f t="shared" si="6"/>
        <v>0.129</v>
      </c>
      <c r="T25" s="906">
        <f t="shared" si="6"/>
        <v>142.55412691324003</v>
      </c>
      <c r="U25" s="573">
        <f t="shared" si="7"/>
        <v>142.68312691324002</v>
      </c>
      <c r="V25" s="394">
        <f>'MPFM_Horario_18&amp;19_04'!AS17</f>
        <v>610.71</v>
      </c>
      <c r="W25" s="239">
        <f>'MPFM_Horario_18&amp;19_04'!AT17</f>
        <v>76.56</v>
      </c>
      <c r="X25" s="237">
        <f>'MPFM_Horario_18&amp;19_04'!AU17</f>
        <v>633.28</v>
      </c>
      <c r="Y25" s="237">
        <f>'MPFM_Horario_18&amp;19_04'!AV17</f>
        <v>574.02</v>
      </c>
      <c r="Z25" s="238">
        <f>'MPFM_Horario_18&amp;19_04'!AW17</f>
        <v>1142.54</v>
      </c>
      <c r="AA25" s="234">
        <f>'MPFM_Horario_18&amp;19_04'!AI17</f>
        <v>106.77800000000001</v>
      </c>
      <c r="AB25" s="237">
        <f>'MPFM_Horario_18&amp;19_04'!AJ17</f>
        <v>35.771999999999998</v>
      </c>
      <c r="AC25" s="524">
        <f>'MPFM_Horario_18&amp;19_04'!AK17</f>
        <v>0.129</v>
      </c>
      <c r="AD25" s="242">
        <f t="shared" si="8"/>
        <v>142.55000000000001</v>
      </c>
      <c r="AE25" s="250">
        <f t="shared" si="9"/>
        <v>142.679</v>
      </c>
      <c r="AF25" s="243">
        <f>'MPFM_Horario_18&amp;19_04'!AN9</f>
        <v>124.119</v>
      </c>
      <c r="AG25" s="243">
        <f>'MPFM_Horario_18&amp;19_04'!AO17/1000</f>
        <v>41.073</v>
      </c>
      <c r="AH25" s="243">
        <f>'MPFM_Horario_18&amp;19_04'!AP17</f>
        <v>0.104</v>
      </c>
      <c r="AI25" s="109"/>
      <c r="AJ25" s="91">
        <f>'SEP_18&amp;19_04_OLEO'!E18</f>
        <v>47.9</v>
      </c>
      <c r="AK25" s="94">
        <f>'SEP_18&amp;19_04_OLEO'!D18</f>
        <v>86.493089999999995</v>
      </c>
      <c r="AL25" s="91">
        <v>142.19399999999999</v>
      </c>
      <c r="AM25" s="167">
        <f t="shared" si="32"/>
        <v>801.4</v>
      </c>
      <c r="AN25" s="93">
        <f t="shared" si="10"/>
        <v>113.9542716</v>
      </c>
      <c r="AO25" s="735">
        <f t="shared" si="11"/>
        <v>113.12812446</v>
      </c>
      <c r="AP25" s="92">
        <f>'SEP_18&amp;19_04_GAS'!I19</f>
        <v>27.6082</v>
      </c>
      <c r="AQ25" s="92">
        <f>'SEP_18&amp;19_04_AGUA'!J19</f>
        <v>0</v>
      </c>
      <c r="AR25" s="92">
        <f>AN25+AP25</f>
        <v>141.56247160000001</v>
      </c>
      <c r="AS25" s="93">
        <f>AN25+AP25+AQ25</f>
        <v>141.56247160000001</v>
      </c>
      <c r="AT25" s="281">
        <f t="shared" si="12"/>
        <v>-0.70050720507483477</v>
      </c>
      <c r="AU25" s="281">
        <f t="shared" si="13"/>
        <v>-0.79163305117089189</v>
      </c>
      <c r="AV25" s="145">
        <v>72.69</v>
      </c>
      <c r="AW25" s="92">
        <v>0.84030000000000005</v>
      </c>
      <c r="AX25" s="93">
        <f t="shared" si="14"/>
        <v>0.05</v>
      </c>
      <c r="AY25" s="545">
        <f>'SEP_18&amp;19_04_OLEO'!J18*(1-AX25/100)</f>
        <v>139.84504250000001</v>
      </c>
      <c r="AZ25" s="153">
        <f t="shared" si="38"/>
        <v>117.51178921275002</v>
      </c>
      <c r="BA25" s="727">
        <v>861.88300000000004</v>
      </c>
      <c r="BB25" s="153">
        <f t="shared" si="33"/>
        <v>101.28141342205264</v>
      </c>
      <c r="BC25" s="544">
        <f t="shared" si="34"/>
        <v>8541.9319578747982</v>
      </c>
      <c r="BD25" s="153">
        <f>('SEP_18&amp;19_04_GAS'!H19+BC25)/1000</f>
        <v>41.958131957874791</v>
      </c>
      <c r="BE25" s="153">
        <f t="shared" si="16"/>
        <v>32.777692685491786</v>
      </c>
      <c r="BF25" s="386">
        <f>'SEP_18&amp;19_04_OLEO'!J18*(AX25/100)</f>
        <v>6.9957499999999992E-2</v>
      </c>
      <c r="BG25" s="153">
        <f>'SEP_18&amp;19_04_AGUA'!K19+'5.1 TotalHorario_Acomp18&amp;19_04'!BF25</f>
        <v>6.9957499999999992E-2</v>
      </c>
      <c r="BH25" s="589">
        <f t="shared" si="37"/>
        <v>0</v>
      </c>
      <c r="BI25" s="548">
        <f t="shared" si="18"/>
        <v>134.05910610754444</v>
      </c>
      <c r="BJ25" s="546">
        <f t="shared" si="19"/>
        <v>134.05910610754444</v>
      </c>
      <c r="BK25" s="111"/>
      <c r="BL25" s="176"/>
      <c r="BM25" s="177"/>
      <c r="BN25" s="177"/>
      <c r="BO25" s="176"/>
      <c r="BP25" s="177"/>
      <c r="BQ25" s="178"/>
      <c r="BR25" s="111"/>
      <c r="BS25" s="111"/>
      <c r="BT25" s="91">
        <f t="shared" si="20"/>
        <v>-25.097659711810248</v>
      </c>
      <c r="BU25" s="761">
        <f t="shared" si="21"/>
        <v>7.1762715999999926</v>
      </c>
      <c r="BV25" s="91">
        <f t="shared" si="22"/>
        <v>100</v>
      </c>
      <c r="BW25" s="761">
        <f t="shared" si="23"/>
        <v>27.6082</v>
      </c>
      <c r="BX25" s="762" t="e">
        <f t="shared" si="24"/>
        <v>#DIV/0!</v>
      </c>
      <c r="BY25" s="92">
        <f t="shared" si="25"/>
        <v>-0.129</v>
      </c>
      <c r="BZ25" s="924">
        <f t="shared" si="26"/>
        <v>-0.70050720507483477</v>
      </c>
      <c r="CA25" s="435">
        <f t="shared" si="36"/>
        <v>-0.99165531324001677</v>
      </c>
      <c r="CB25" s="924">
        <f t="shared" si="27"/>
        <v>-0.79163305117089189</v>
      </c>
      <c r="CC25" s="93">
        <f t="shared" si="2"/>
        <v>-1.1206553132400074</v>
      </c>
      <c r="CD25" s="169" t="str">
        <f t="shared" si="28"/>
        <v>OK</v>
      </c>
      <c r="CE25" s="170" t="str">
        <f t="shared" si="29"/>
        <v>OK</v>
      </c>
      <c r="CG25" s="95">
        <f>IF(Q25="","",Q25-Q24)</f>
        <v>-5.0476646830645677E-2</v>
      </c>
      <c r="CH25" s="76">
        <f>IF(T25="","",T25-T24)</f>
        <v>-5.0476646830645677E-2</v>
      </c>
      <c r="CI25" s="33">
        <f>IF(S25="","",S25-S24)</f>
        <v>0</v>
      </c>
      <c r="CJ25" s="76">
        <f t="shared" si="3"/>
        <v>-0.10095329366129135</v>
      </c>
      <c r="CK25" s="97">
        <f t="shared" si="4"/>
        <v>-0.10095329366129135</v>
      </c>
      <c r="CL25" s="98">
        <f>IF(AN25="","",AN25-AN24)</f>
        <v>-6.4112000000022817E-3</v>
      </c>
      <c r="CM25" s="76">
        <f t="shared" si="30"/>
        <v>-4.9199999999999022E-2</v>
      </c>
      <c r="CN25" s="76">
        <f t="shared" si="30"/>
        <v>0</v>
      </c>
      <c r="CO25" s="76">
        <f t="shared" si="5"/>
        <v>-5.5611200000001304E-2</v>
      </c>
      <c r="CP25" s="47">
        <f t="shared" si="31"/>
        <v>-5.5611200000001304E-2</v>
      </c>
      <c r="CQ25" s="75" t="s">
        <v>12</v>
      </c>
      <c r="CR25" s="96"/>
    </row>
    <row r="26" spans="1:96" ht="24.75" customHeight="1" x14ac:dyDescent="0.25">
      <c r="A26" s="142">
        <v>46131</v>
      </c>
      <c r="B26" s="142">
        <v>46131.04166574074</v>
      </c>
      <c r="C26" s="90">
        <f t="shared" si="0"/>
        <v>0.99997777777025476</v>
      </c>
      <c r="D26" s="258" cm="1">
        <f t="array" ref="D26">_xll.PITimeDat('5.1 TotalHorario_Acomp18&amp;19_04'!$D$7,B26,"","interpolated")</f>
        <v>453.1135183230374</v>
      </c>
      <c r="E26" s="258" cm="1">
        <f t="array" ref="E26">_xll.PITimeDat('5.1 TotalHorario_Acomp18&amp;19_04'!$E$7,B26,"","interpolated")</f>
        <v>5.0040760271484547E-2</v>
      </c>
      <c r="F26" s="258" cm="1">
        <f t="array" ref="F26">_xll.PITimeDat('5.1 TotalHorario_Acomp18&amp;19_04'!$F$7,B26,"","interpolated")</f>
        <v>5.0040760271484547E-2</v>
      </c>
      <c r="G26" s="258" cm="1">
        <f t="array" ref="G26">_xll.PITimeDat('5.1 TotalHorario_Acomp18&amp;19_04'!$G$7,B26,"","interpolated")</f>
        <v>6.5786571817233863</v>
      </c>
      <c r="H26" s="669">
        <f>'MPFM_Horario_18&amp;19_04'!O18</f>
        <v>141.19399999999999</v>
      </c>
      <c r="I26" s="572">
        <f>'MPFM_Horario_18&amp;19_04'!P18</f>
        <v>0</v>
      </c>
      <c r="J26" s="572">
        <f>'MPFM_Horario_18&amp;19_04'!Q18</f>
        <v>0.129</v>
      </c>
      <c r="K26" s="572">
        <f>'MPFM_Horario_18&amp;19_04'!R18</f>
        <v>141.19399999999999</v>
      </c>
      <c r="L26" s="573">
        <f>'MPFM_Horario_18&amp;19_04'!S18</f>
        <v>141.32300000000001</v>
      </c>
      <c r="M26" s="670">
        <v>1.00953293661294</v>
      </c>
      <c r="N26" s="235">
        <v>1</v>
      </c>
      <c r="O26" s="235">
        <v>1</v>
      </c>
      <c r="P26" s="673">
        <v>1.00953293661294</v>
      </c>
      <c r="Q26" s="905">
        <f t="shared" si="6"/>
        <v>142.53999345212745</v>
      </c>
      <c r="R26" s="572">
        <f t="shared" si="6"/>
        <v>0</v>
      </c>
      <c r="S26" s="573">
        <f t="shared" si="6"/>
        <v>0.129</v>
      </c>
      <c r="T26" s="906">
        <f t="shared" si="6"/>
        <v>142.53999345212745</v>
      </c>
      <c r="U26" s="573">
        <f t="shared" si="7"/>
        <v>142.66899345212744</v>
      </c>
      <c r="V26" s="394">
        <f>'MPFM_Horario_18&amp;19_04'!AS18</f>
        <v>610.67999999999995</v>
      </c>
      <c r="W26" s="239">
        <f>'MPFM_Horario_18&amp;19_04'!AT18</f>
        <v>76.59</v>
      </c>
      <c r="X26" s="237">
        <f>'MPFM_Horario_18&amp;19_04'!AU18</f>
        <v>633.25</v>
      </c>
      <c r="Y26" s="237">
        <f>'MPFM_Horario_18&amp;19_04'!AV18</f>
        <v>573.99</v>
      </c>
      <c r="Z26" s="238">
        <f>'MPFM_Horario_18&amp;19_04'!AW18</f>
        <v>1142.54</v>
      </c>
      <c r="AA26" s="234">
        <f>'MPFM_Horario_18&amp;19_04'!AI18</f>
        <v>106.767</v>
      </c>
      <c r="AB26" s="237">
        <f>'MPFM_Horario_18&amp;19_04'!AJ18</f>
        <v>35.768000000000001</v>
      </c>
      <c r="AC26" s="524">
        <f>'MPFM_Horario_18&amp;19_04'!AK18</f>
        <v>0.129</v>
      </c>
      <c r="AD26" s="242">
        <f t="shared" si="8"/>
        <v>142.535</v>
      </c>
      <c r="AE26" s="250">
        <f t="shared" si="9"/>
        <v>142.66399999999999</v>
      </c>
      <c r="AF26" s="243">
        <f>'MPFM_Horario_18&amp;19_04'!AN10</f>
        <v>124.14100000000001</v>
      </c>
      <c r="AG26" s="243">
        <f>'MPFM_Horario_18&amp;19_04'!AO18/1000</f>
        <v>41.067999999999998</v>
      </c>
      <c r="AH26" s="243">
        <f>'MPFM_Horario_18&amp;19_04'!AP18</f>
        <v>0.104</v>
      </c>
      <c r="AI26" s="109"/>
      <c r="AJ26" s="91">
        <f>'SEP_18&amp;19_04_OLEO'!E19</f>
        <v>48.04</v>
      </c>
      <c r="AK26" s="94">
        <f>'SEP_18&amp;19_04_OLEO'!D19</f>
        <v>86.496589999999998</v>
      </c>
      <c r="AL26" s="91">
        <v>142.12</v>
      </c>
      <c r="AM26" s="167">
        <f t="shared" si="32"/>
        <v>801.4</v>
      </c>
      <c r="AN26" s="93">
        <f t="shared" si="10"/>
        <v>113.89496799999999</v>
      </c>
      <c r="AO26" s="735">
        <f t="shared" si="11"/>
        <v>113.06925080000001</v>
      </c>
      <c r="AP26" s="92">
        <f>'SEP_18&amp;19_04_GAS'!I20</f>
        <v>27.6846</v>
      </c>
      <c r="AQ26" s="92">
        <f>'SEP_18&amp;19_04_AGUA'!J20</f>
        <v>0</v>
      </c>
      <c r="AR26" s="92">
        <f>AN26+AP26</f>
        <v>141.57956799999999</v>
      </c>
      <c r="AS26" s="93">
        <f>AN26+AP26+AQ26</f>
        <v>141.57956799999999</v>
      </c>
      <c r="AT26" s="281">
        <f t="shared" si="12"/>
        <v>-0.67836444601063672</v>
      </c>
      <c r="AU26" s="281">
        <f t="shared" si="13"/>
        <v>-0.76947928823136635</v>
      </c>
      <c r="AV26" s="145">
        <v>72.69</v>
      </c>
      <c r="AW26" s="92">
        <v>0.84030000000000005</v>
      </c>
      <c r="AX26" s="93">
        <f t="shared" si="14"/>
        <v>0.05</v>
      </c>
      <c r="AY26" s="545">
        <f>'SEP_18&amp;19_04_OLEO'!J19*(1-AX26/100)</f>
        <v>139.75808600000002</v>
      </c>
      <c r="AZ26" s="153">
        <f t="shared" si="38"/>
        <v>117.43871966580002</v>
      </c>
      <c r="BA26" s="727">
        <v>861.88300000000004</v>
      </c>
      <c r="BB26" s="153">
        <f t="shared" si="33"/>
        <v>101.21843602171872</v>
      </c>
      <c r="BC26" s="544">
        <f t="shared" si="34"/>
        <v>8536.6205325070041</v>
      </c>
      <c r="BD26" s="153">
        <f>('SEP_18&amp;19_04_GAS'!H20+BC26)/1000</f>
        <v>42.045220532507003</v>
      </c>
      <c r="BE26" s="153">
        <f t="shared" si="16"/>
        <v>32.845726279994473</v>
      </c>
      <c r="BF26" s="386">
        <f>'SEP_18&amp;19_04_OLEO'!J19*(AX26/100)</f>
        <v>6.9914000000000004E-2</v>
      </c>
      <c r="BG26" s="153">
        <f>'SEP_18&amp;19_04_AGUA'!K20+'5.1 TotalHorario_Acomp18&amp;19_04'!BF26</f>
        <v>6.9914000000000004E-2</v>
      </c>
      <c r="BH26" s="589">
        <f t="shared" si="37"/>
        <v>0</v>
      </c>
      <c r="BI26" s="548">
        <f t="shared" si="18"/>
        <v>134.0641623017132</v>
      </c>
      <c r="BJ26" s="546">
        <f t="shared" si="19"/>
        <v>134.0641623017132</v>
      </c>
      <c r="BK26" s="111"/>
      <c r="BL26" s="176"/>
      <c r="BM26" s="177"/>
      <c r="BN26" s="177"/>
      <c r="BO26" s="176"/>
      <c r="BP26" s="177"/>
      <c r="BQ26" s="178"/>
      <c r="BR26" s="111"/>
      <c r="BS26" s="111"/>
      <c r="BT26" s="91">
        <f t="shared" si="20"/>
        <v>-25.150387198956377</v>
      </c>
      <c r="BU26" s="761">
        <f t="shared" si="21"/>
        <v>7.1279679999999956</v>
      </c>
      <c r="BV26" s="91">
        <f t="shared" si="22"/>
        <v>100</v>
      </c>
      <c r="BW26" s="761">
        <f t="shared" si="23"/>
        <v>27.6846</v>
      </c>
      <c r="BX26" s="762" t="e">
        <f t="shared" si="24"/>
        <v>#DIV/0!</v>
      </c>
      <c r="BY26" s="92">
        <f t="shared" si="25"/>
        <v>-0.129</v>
      </c>
      <c r="BZ26" s="924">
        <f t="shared" si="26"/>
        <v>-0.67836444601063672</v>
      </c>
      <c r="CA26" s="435">
        <f t="shared" si="36"/>
        <v>-0.96042545212745267</v>
      </c>
      <c r="CB26" s="924">
        <f t="shared" si="27"/>
        <v>-0.76947928823136635</v>
      </c>
      <c r="CC26" s="93">
        <f t="shared" si="2"/>
        <v>-1.0894254521274434</v>
      </c>
      <c r="CD26" s="169" t="str">
        <f t="shared" si="28"/>
        <v>OK</v>
      </c>
      <c r="CE26" s="170" t="str">
        <f t="shared" si="29"/>
        <v>OK</v>
      </c>
      <c r="CG26" s="95">
        <f>IF(Q26="","",Q26-Q25)</f>
        <v>-1.4133461112578516E-2</v>
      </c>
      <c r="CH26" s="76">
        <f>IF(T26="","",T26-T25)</f>
        <v>-1.4133461112578516E-2</v>
      </c>
      <c r="CI26" s="33">
        <f>IF(S26="","",S26-S25)</f>
        <v>0</v>
      </c>
      <c r="CJ26" s="76">
        <f t="shared" si="3"/>
        <v>-2.8266922225157032E-2</v>
      </c>
      <c r="CK26" s="97">
        <f t="shared" si="4"/>
        <v>-2.8266922225157032E-2</v>
      </c>
      <c r="CL26" s="98">
        <f>IF(AN26="","",AN26-AN25)</f>
        <v>-5.9303600000006895E-2</v>
      </c>
      <c r="CM26" s="76">
        <f t="shared" si="30"/>
        <v>7.6399999999999579E-2</v>
      </c>
      <c r="CN26" s="76">
        <f t="shared" si="30"/>
        <v>0</v>
      </c>
      <c r="CO26" s="76">
        <f t="shared" si="5"/>
        <v>1.7096399999992684E-2</v>
      </c>
      <c r="CP26" s="47">
        <f t="shared" si="31"/>
        <v>1.7096399999992684E-2</v>
      </c>
      <c r="CQ26" s="75" t="s">
        <v>12</v>
      </c>
      <c r="CR26" s="96"/>
    </row>
    <row r="27" spans="1:96" ht="24.75" customHeight="1" x14ac:dyDescent="0.25">
      <c r="A27" s="142">
        <v>46131.041666666664</v>
      </c>
      <c r="B27" s="142">
        <v>46131.083332349539</v>
      </c>
      <c r="C27" s="90">
        <f t="shared" si="0"/>
        <v>0.99997638899367303</v>
      </c>
      <c r="D27" s="258" cm="1">
        <f t="array" ref="D27">_xll.PITimeDat('5.1 TotalHorario_Acomp18&amp;19_04'!$D$7,B27,"","interpolated")</f>
        <v>453.49582411427428</v>
      </c>
      <c r="E27" s="258" cm="1">
        <f t="array" ref="E27">_xll.PITimeDat('5.1 TotalHorario_Acomp18&amp;19_04'!$E$7,B27,"","interpolated")</f>
        <v>5.0040705977789951E-2</v>
      </c>
      <c r="F27" s="258" cm="1">
        <f t="array" ref="F27">_xll.PITimeDat('5.1 TotalHorario_Acomp18&amp;19_04'!$F$7,B27,"","interpolated")</f>
        <v>5.0040705977789951E-2</v>
      </c>
      <c r="G27" s="258" cm="1">
        <f t="array" ref="G27">_xll.PITimeDat('5.1 TotalHorario_Acomp18&amp;19_04'!$G$7,B27,"","interpolated")</f>
        <v>6.5816131909684437</v>
      </c>
      <c r="H27" s="669">
        <f>'MPFM_Horario_18&amp;19_04'!O19</f>
        <v>141.143</v>
      </c>
      <c r="I27" s="572">
        <f>'MPFM_Horario_18&amp;19_04'!P19</f>
        <v>0</v>
      </c>
      <c r="J27" s="572">
        <f>'MPFM_Horario_18&amp;19_04'!Q19</f>
        <v>0.129</v>
      </c>
      <c r="K27" s="572">
        <f>'MPFM_Horario_18&amp;19_04'!R19</f>
        <v>141.143</v>
      </c>
      <c r="L27" s="573">
        <f>'MPFM_Horario_18&amp;19_04'!S19</f>
        <v>141.27099999999999</v>
      </c>
      <c r="M27" s="670">
        <v>1.00953293661294</v>
      </c>
      <c r="N27" s="235">
        <v>1</v>
      </c>
      <c r="O27" s="235">
        <v>1</v>
      </c>
      <c r="P27" s="673">
        <v>1.00953293661294</v>
      </c>
      <c r="Q27" s="905">
        <f t="shared" si="6"/>
        <v>142.48850727236018</v>
      </c>
      <c r="R27" s="572">
        <f t="shared" si="6"/>
        <v>0</v>
      </c>
      <c r="S27" s="573">
        <f t="shared" si="6"/>
        <v>0.129</v>
      </c>
      <c r="T27" s="906">
        <f t="shared" si="6"/>
        <v>142.48850727236018</v>
      </c>
      <c r="U27" s="573">
        <f t="shared" si="7"/>
        <v>142.61750727236017</v>
      </c>
      <c r="V27" s="394">
        <f>'MPFM_Horario_18&amp;19_04'!AS19</f>
        <v>610.66</v>
      </c>
      <c r="W27" s="239">
        <f>'MPFM_Horario_18&amp;19_04'!AT19</f>
        <v>76.62</v>
      </c>
      <c r="X27" s="237">
        <f>'MPFM_Horario_18&amp;19_04'!AU19</f>
        <v>633.23</v>
      </c>
      <c r="Y27" s="237">
        <f>'MPFM_Horario_18&amp;19_04'!AV19</f>
        <v>573.97</v>
      </c>
      <c r="Z27" s="238">
        <f>'MPFM_Horario_18&amp;19_04'!AW19</f>
        <v>1142.54</v>
      </c>
      <c r="AA27" s="234">
        <f>'MPFM_Horario_18&amp;19_04'!AI19</f>
        <v>106.72799999999999</v>
      </c>
      <c r="AB27" s="237">
        <f>'MPFM_Horario_18&amp;19_04'!AJ19</f>
        <v>35.755000000000003</v>
      </c>
      <c r="AC27" s="524">
        <f>'MPFM_Horario_18&amp;19_04'!AK19</f>
        <v>0.129</v>
      </c>
      <c r="AD27" s="242">
        <f t="shared" si="8"/>
        <v>142.483</v>
      </c>
      <c r="AE27" s="250">
        <f t="shared" si="9"/>
        <v>142.61199999999999</v>
      </c>
      <c r="AF27" s="243">
        <f>'MPFM_Horario_18&amp;19_04'!AN11</f>
        <v>124.172</v>
      </c>
      <c r="AG27" s="243">
        <f>'MPFM_Horario_18&amp;19_04'!AO19/1000</f>
        <v>41.052999999999997</v>
      </c>
      <c r="AH27" s="243">
        <f>'MPFM_Horario_18&amp;19_04'!AP19</f>
        <v>0.10299999999999999</v>
      </c>
      <c r="AI27" s="109"/>
      <c r="AJ27" s="91">
        <f>'SEP_18&amp;19_04_OLEO'!E20</f>
        <v>48.19</v>
      </c>
      <c r="AK27" s="94">
        <f>'SEP_18&amp;19_04_OLEO'!D20</f>
        <v>86.494069999999994</v>
      </c>
      <c r="AL27" s="91">
        <v>142.23400000000001</v>
      </c>
      <c r="AM27" s="167">
        <f t="shared" si="32"/>
        <v>801.4</v>
      </c>
      <c r="AN27" s="93">
        <f t="shared" si="10"/>
        <v>113.98632760000001</v>
      </c>
      <c r="AO27" s="735">
        <f t="shared" si="11"/>
        <v>113.15994806</v>
      </c>
      <c r="AP27" s="92">
        <f>'SEP_18&amp;19_04_GAS'!I21</f>
        <v>27.687799999999999</v>
      </c>
      <c r="AQ27" s="92">
        <f>'SEP_18&amp;19_04_AGUA'!J21</f>
        <v>0</v>
      </c>
      <c r="AR27" s="92">
        <f>AN27+AP27</f>
        <v>141.67412760000002</v>
      </c>
      <c r="AS27" s="93">
        <f>AN27+AP27+AQ27</f>
        <v>141.67412760000002</v>
      </c>
      <c r="AT27" s="281">
        <f t="shared" si="12"/>
        <v>-0.5748259658668694</v>
      </c>
      <c r="AU27" s="281">
        <f t="shared" si="13"/>
        <v>-0.66587999399839015</v>
      </c>
      <c r="AV27" s="145">
        <v>72.69</v>
      </c>
      <c r="AW27" s="92">
        <v>0.84030000000000005</v>
      </c>
      <c r="AX27" s="93">
        <f t="shared" si="14"/>
        <v>0.05</v>
      </c>
      <c r="AY27" s="545">
        <f>'SEP_18&amp;19_04_OLEO'!J20*(1-AX27/100)</f>
        <v>139.8530385</v>
      </c>
      <c r="AZ27" s="153">
        <f t="shared" si="38"/>
        <v>117.51850825155</v>
      </c>
      <c r="BA27" s="727">
        <v>861.88300000000004</v>
      </c>
      <c r="BB27" s="153">
        <f t="shared" si="33"/>
        <v>101.28720444737068</v>
      </c>
      <c r="BC27" s="544">
        <f t="shared" si="34"/>
        <v>8542.4203648051698</v>
      </c>
      <c r="BD27" s="153">
        <f>('SEP_18&amp;19_04_GAS'!H21+BC27)/1000</f>
        <v>42.055020364805166</v>
      </c>
      <c r="BE27" s="153">
        <f t="shared" si="16"/>
        <v>32.853381908985796</v>
      </c>
      <c r="BF27" s="386">
        <f>'SEP_18&amp;19_04_OLEO'!J20*(AX27/100)</f>
        <v>6.9961499999999996E-2</v>
      </c>
      <c r="BG27" s="153">
        <f>'SEP_18&amp;19_04_AGUA'!K21+'5.1 TotalHorario_Acomp18&amp;19_04'!BF27</f>
        <v>6.9961499999999996E-2</v>
      </c>
      <c r="BH27" s="589">
        <f t="shared" si="37"/>
        <v>0</v>
      </c>
      <c r="BI27" s="548">
        <f t="shared" si="18"/>
        <v>134.14058635635649</v>
      </c>
      <c r="BJ27" s="546">
        <f t="shared" si="19"/>
        <v>134.14058635635649</v>
      </c>
      <c r="BK27" s="111"/>
      <c r="BL27" s="176"/>
      <c r="BM27" s="177"/>
      <c r="BN27" s="177"/>
      <c r="BO27" s="176"/>
      <c r="BP27" s="177"/>
      <c r="BQ27" s="178"/>
      <c r="BR27" s="111"/>
      <c r="BS27" s="111"/>
      <c r="BT27" s="91">
        <f t="shared" si="20"/>
        <v>-25.004910915614204</v>
      </c>
      <c r="BU27" s="761">
        <f t="shared" si="21"/>
        <v>7.2583276000000154</v>
      </c>
      <c r="BV27" s="91">
        <f t="shared" si="22"/>
        <v>100</v>
      </c>
      <c r="BW27" s="761">
        <f t="shared" si="23"/>
        <v>27.687799999999999</v>
      </c>
      <c r="BX27" s="762" t="e">
        <f t="shared" si="24"/>
        <v>#DIV/0!</v>
      </c>
      <c r="BY27" s="92">
        <f t="shared" si="25"/>
        <v>-0.129</v>
      </c>
      <c r="BZ27" s="924">
        <f t="shared" si="26"/>
        <v>-0.5748259658668694</v>
      </c>
      <c r="CA27" s="435">
        <f t="shared" si="36"/>
        <v>-0.81437967236016107</v>
      </c>
      <c r="CB27" s="924">
        <f t="shared" si="27"/>
        <v>-0.66587999399839015</v>
      </c>
      <c r="CC27" s="93">
        <f t="shared" si="2"/>
        <v>-0.94337967236015174</v>
      </c>
      <c r="CD27" s="169" t="str">
        <f t="shared" si="28"/>
        <v>OK</v>
      </c>
      <c r="CE27" s="170" t="str">
        <f t="shared" si="29"/>
        <v>OK</v>
      </c>
      <c r="CG27" s="95">
        <f>IF(Q27="","",Q27-Q26)</f>
        <v>-5.1486179767266549E-2</v>
      </c>
      <c r="CH27" s="76">
        <f>IF(T27="","",T27-T26)</f>
        <v>-5.1486179767266549E-2</v>
      </c>
      <c r="CI27" s="33">
        <f>IF(S27="","",S27-S26)</f>
        <v>0</v>
      </c>
      <c r="CJ27" s="76">
        <f t="shared" si="3"/>
        <v>-0.1029723595345331</v>
      </c>
      <c r="CK27" s="97">
        <f t="shared" si="4"/>
        <v>-0.1029723595345331</v>
      </c>
      <c r="CL27" s="98">
        <f>IF(AN27="","",AN27-AN26)</f>
        <v>9.1359600000018304E-2</v>
      </c>
      <c r="CM27" s="76">
        <f t="shared" si="30"/>
        <v>3.1999999999996476E-3</v>
      </c>
      <c r="CN27" s="76">
        <f t="shared" si="30"/>
        <v>0</v>
      </c>
      <c r="CO27" s="76">
        <f t="shared" si="5"/>
        <v>9.4559600000017952E-2</v>
      </c>
      <c r="CP27" s="47">
        <f t="shared" si="31"/>
        <v>9.4559600000017952E-2</v>
      </c>
      <c r="CQ27" s="75" t="s">
        <v>12</v>
      </c>
      <c r="CR27" s="96"/>
    </row>
    <row r="28" spans="1:96" ht="24.75" customHeight="1" x14ac:dyDescent="0.25">
      <c r="A28" s="142">
        <v>46131.083333333336</v>
      </c>
      <c r="B28" s="142">
        <v>46131.12499895833</v>
      </c>
      <c r="C28" s="90">
        <f t="shared" si="0"/>
        <v>0.99997499986784533</v>
      </c>
      <c r="D28" s="258" cm="1">
        <f t="array" ref="D28">_xll.PITimeDat('5.1 TotalHorario_Acomp18&amp;19_04'!$D$7,B28,"","interpolated")</f>
        <v>453.36328711443025</v>
      </c>
      <c r="E28" s="258" cm="1">
        <f t="array" ref="E28">_xll.PITimeDat('5.1 TotalHorario_Acomp18&amp;19_04'!$E$7,B28,"","interpolated")</f>
        <v>5.0040704092711025E-2</v>
      </c>
      <c r="F28" s="258" cm="1">
        <f t="array" ref="F28">_xll.PITimeDat('5.1 TotalHorario_Acomp18&amp;19_04'!$F$7,B28,"","interpolated")</f>
        <v>5.0040704092711025E-2</v>
      </c>
      <c r="G28" s="258" cm="1">
        <f t="array" ref="G28">_xll.PITimeDat('5.1 TotalHorario_Acomp18&amp;19_04'!$G$7,B28,"","interpolated")</f>
        <v>6.5807770862823354</v>
      </c>
      <c r="H28" s="669">
        <f>'MPFM_Horario_18&amp;19_04'!O20</f>
        <v>141.17099999999999</v>
      </c>
      <c r="I28" s="572">
        <f>'MPFM_Horario_18&amp;19_04'!P20</f>
        <v>0</v>
      </c>
      <c r="J28" s="572">
        <f>'MPFM_Horario_18&amp;19_04'!Q20</f>
        <v>0.129</v>
      </c>
      <c r="K28" s="572">
        <f>'MPFM_Horario_18&amp;19_04'!R20</f>
        <v>141.17099999999999</v>
      </c>
      <c r="L28" s="573">
        <f>'MPFM_Horario_18&amp;19_04'!S20</f>
        <v>141.29900000000001</v>
      </c>
      <c r="M28" s="670">
        <v>1.00953293661294</v>
      </c>
      <c r="N28" s="235">
        <v>1</v>
      </c>
      <c r="O28" s="235">
        <v>1</v>
      </c>
      <c r="P28" s="673">
        <v>1.00953293661294</v>
      </c>
      <c r="Q28" s="905">
        <f t="shared" si="6"/>
        <v>142.51677419458534</v>
      </c>
      <c r="R28" s="572">
        <f t="shared" si="6"/>
        <v>0</v>
      </c>
      <c r="S28" s="573">
        <f t="shared" si="6"/>
        <v>0.129</v>
      </c>
      <c r="T28" s="906">
        <f t="shared" si="6"/>
        <v>142.51677419458534</v>
      </c>
      <c r="U28" s="573">
        <f t="shared" si="7"/>
        <v>142.64577419458533</v>
      </c>
      <c r="V28" s="394">
        <f>'MPFM_Horario_18&amp;19_04'!AS20</f>
        <v>610.63</v>
      </c>
      <c r="W28" s="239">
        <f>'MPFM_Horario_18&amp;19_04'!AT20</f>
        <v>76.650000000000006</v>
      </c>
      <c r="X28" s="237">
        <f>'MPFM_Horario_18&amp;19_04'!AU20</f>
        <v>633.21</v>
      </c>
      <c r="Y28" s="237">
        <f>'MPFM_Horario_18&amp;19_04'!AV20</f>
        <v>573.94000000000005</v>
      </c>
      <c r="Z28" s="238">
        <f>'MPFM_Horario_18&amp;19_04'!AW20</f>
        <v>1142.54</v>
      </c>
      <c r="AA28" s="234">
        <f>'MPFM_Horario_18&amp;19_04'!AI20</f>
        <v>106.749</v>
      </c>
      <c r="AB28" s="237">
        <f>'MPFM_Horario_18&amp;19_04'!AJ20</f>
        <v>35.762</v>
      </c>
      <c r="AC28" s="524">
        <f>'MPFM_Horario_18&amp;19_04'!AK20</f>
        <v>0.129</v>
      </c>
      <c r="AD28" s="242">
        <f t="shared" si="8"/>
        <v>142.511</v>
      </c>
      <c r="AE28" s="250">
        <f t="shared" si="9"/>
        <v>142.63999999999999</v>
      </c>
      <c r="AF28" s="243">
        <f>'MPFM_Horario_18&amp;19_04'!AN12</f>
        <v>124.154</v>
      </c>
      <c r="AG28" s="243">
        <f>'MPFM_Horario_18&amp;19_04'!AO20/1000</f>
        <v>41.061999999999998</v>
      </c>
      <c r="AH28" s="243">
        <f>'MPFM_Horario_18&amp;19_04'!AP20</f>
        <v>0.104</v>
      </c>
      <c r="AI28" s="109"/>
      <c r="AJ28" s="91">
        <f>'SEP_18&amp;19_04_OLEO'!E21</f>
        <v>48.24</v>
      </c>
      <c r="AK28" s="94">
        <f>'SEP_18&amp;19_04_OLEO'!D21</f>
        <v>86.498099999999994</v>
      </c>
      <c r="AL28" s="91">
        <v>142.078</v>
      </c>
      <c r="AM28" s="167">
        <f t="shared" si="32"/>
        <v>801.4</v>
      </c>
      <c r="AN28" s="93">
        <f t="shared" si="10"/>
        <v>113.86130920000001</v>
      </c>
      <c r="AO28" s="735">
        <f t="shared" si="11"/>
        <v>113.03583602</v>
      </c>
      <c r="AP28" s="92">
        <f>'SEP_18&amp;19_04_GAS'!I22</f>
        <v>27.789400000000001</v>
      </c>
      <c r="AQ28" s="92">
        <f>'SEP_18&amp;19_04_AGUA'!J22</f>
        <v>0</v>
      </c>
      <c r="AR28" s="92">
        <f>AN28+AP28</f>
        <v>141.65070919999999</v>
      </c>
      <c r="AS28" s="93">
        <f>AN28+AP28+AQ28</f>
        <v>141.65070919999999</v>
      </c>
      <c r="AT28" s="281">
        <f t="shared" si="12"/>
        <v>-0.61140886584798237</v>
      </c>
      <c r="AU28" s="281">
        <f t="shared" si="13"/>
        <v>-0.70247794748445513</v>
      </c>
      <c r="AV28" s="145">
        <v>72.69</v>
      </c>
      <c r="AW28" s="92">
        <v>0.84030000000000005</v>
      </c>
      <c r="AX28" s="93">
        <f t="shared" si="14"/>
        <v>0.05</v>
      </c>
      <c r="AY28" s="545">
        <f>'SEP_18&amp;19_04_OLEO'!J21*(1-AX28/100)</f>
        <v>139.69311850000003</v>
      </c>
      <c r="AZ28" s="153">
        <f t="shared" si="38"/>
        <v>117.38412747555003</v>
      </c>
      <c r="BA28" s="727">
        <v>861.88300000000004</v>
      </c>
      <c r="BB28" s="153">
        <f t="shared" si="33"/>
        <v>101.17138394100949</v>
      </c>
      <c r="BC28" s="544">
        <f t="shared" si="34"/>
        <v>8532.6522261977316</v>
      </c>
      <c r="BD28" s="153">
        <f>('SEP_18&amp;19_04_GAS'!H22+BC28)/1000</f>
        <v>42.16805222619773</v>
      </c>
      <c r="BE28" s="153">
        <f t="shared" si="16"/>
        <v>32.941682399105673</v>
      </c>
      <c r="BF28" s="386">
        <f>'SEP_18&amp;19_04_OLEO'!J21*(AX28/100)</f>
        <v>6.9881499999999999E-2</v>
      </c>
      <c r="BG28" s="153">
        <f>'SEP_18&amp;19_04_AGUA'!K22+'5.1 TotalHorario_Acomp18&amp;19_04'!BF28</f>
        <v>6.9881499999999999E-2</v>
      </c>
      <c r="BH28" s="589">
        <f t="shared" si="37"/>
        <v>0</v>
      </c>
      <c r="BI28" s="548">
        <f t="shared" si="18"/>
        <v>134.11306634011515</v>
      </c>
      <c r="BJ28" s="546">
        <f t="shared" si="19"/>
        <v>134.11306634011515</v>
      </c>
      <c r="BK28" s="111"/>
      <c r="BL28" s="176"/>
      <c r="BM28" s="177"/>
      <c r="BN28" s="177"/>
      <c r="BO28" s="176"/>
      <c r="BP28" s="177"/>
      <c r="BQ28" s="178"/>
      <c r="BR28" s="111"/>
      <c r="BS28" s="111"/>
      <c r="BT28" s="91">
        <f t="shared" si="20"/>
        <v>-25.166990609822822</v>
      </c>
      <c r="BU28" s="761">
        <f t="shared" si="21"/>
        <v>7.1123092000000128</v>
      </c>
      <c r="BV28" s="91">
        <f t="shared" si="22"/>
        <v>100</v>
      </c>
      <c r="BW28" s="761">
        <f t="shared" si="23"/>
        <v>27.789400000000001</v>
      </c>
      <c r="BX28" s="762" t="e">
        <f t="shared" si="24"/>
        <v>#DIV/0!</v>
      </c>
      <c r="BY28" s="92">
        <f t="shared" si="25"/>
        <v>-0.129</v>
      </c>
      <c r="BZ28" s="924">
        <f t="shared" si="26"/>
        <v>-0.61140886584798237</v>
      </c>
      <c r="CA28" s="435">
        <f t="shared" si="36"/>
        <v>-0.86606499458534358</v>
      </c>
      <c r="CB28" s="924">
        <f t="shared" si="27"/>
        <v>-0.70247794748445513</v>
      </c>
      <c r="CC28" s="93">
        <f t="shared" si="2"/>
        <v>-0.99506499458533426</v>
      </c>
      <c r="CD28" s="169" t="str">
        <f t="shared" si="28"/>
        <v>OK</v>
      </c>
      <c r="CE28" s="170" t="str">
        <f t="shared" si="29"/>
        <v>OK</v>
      </c>
      <c r="CG28" s="95">
        <f>IF(Q28="","",Q28-Q27)</f>
        <v>2.8266922225157032E-2</v>
      </c>
      <c r="CH28" s="76">
        <f>IF(R28="","",R28-T27)</f>
        <v>-142.48850727236018</v>
      </c>
      <c r="CI28" s="33">
        <f>IF(S28="","",S28-S27)</f>
        <v>0</v>
      </c>
      <c r="CJ28" s="76">
        <f t="shared" si="3"/>
        <v>-142.46024035013502</v>
      </c>
      <c r="CK28" s="97">
        <f t="shared" si="4"/>
        <v>-142.46024035013502</v>
      </c>
      <c r="CL28" s="98">
        <f>IF(AN28="","",AN28-AN27)</f>
        <v>-0.12501840000000186</v>
      </c>
      <c r="CM28" s="76">
        <f t="shared" si="30"/>
        <v>0.10160000000000124</v>
      </c>
      <c r="CN28" s="76">
        <f t="shared" si="30"/>
        <v>0</v>
      </c>
      <c r="CO28" s="76">
        <f t="shared" si="5"/>
        <v>-2.3418400000000617E-2</v>
      </c>
      <c r="CP28" s="47">
        <f t="shared" si="31"/>
        <v>-2.3418400000000617E-2</v>
      </c>
      <c r="CQ28" s="75" t="s">
        <v>12</v>
      </c>
      <c r="CR28" s="96"/>
    </row>
    <row r="29" spans="1:96" ht="24.75" customHeight="1" x14ac:dyDescent="0.25">
      <c r="A29" s="142">
        <v>46131.125</v>
      </c>
      <c r="B29" s="142">
        <v>46131.166665567129</v>
      </c>
      <c r="C29" s="90">
        <f t="shared" si="0"/>
        <v>0.99997361109126359</v>
      </c>
      <c r="D29" s="258" cm="1">
        <f t="array" ref="D29">_xll.PITimeDat('5.1 TotalHorario_Acomp18&amp;19_04'!$D$7,B29,"","interpolated")</f>
        <v>453.23163921961986</v>
      </c>
      <c r="E29" s="258" cm="1">
        <f t="array" ref="E29">_xll.PITimeDat('5.1 TotalHorario_Acomp18&amp;19_04'!$E$7,B29,"","interpolated")</f>
        <v>5.0040783053412377E-2</v>
      </c>
      <c r="F29" s="258" cm="1">
        <f t="array" ref="F29">_xll.PITimeDat('5.1 TotalHorario_Acomp18&amp;19_04'!$F$7,B29,"","interpolated")</f>
        <v>5.0040783053412377E-2</v>
      </c>
      <c r="G29" s="258" cm="1">
        <f t="array" ref="G29">_xll.PITimeDat('5.1 TotalHorario_Acomp18&amp;19_04'!$G$7,B29,"","interpolated")</f>
        <v>6.579924935569113</v>
      </c>
      <c r="H29" s="669">
        <f>'MPFM_Horario_18&amp;19_04'!O21</f>
        <v>141.17500000000001</v>
      </c>
      <c r="I29" s="572">
        <f>'MPFM_Horario_18&amp;19_04'!P21</f>
        <v>0</v>
      </c>
      <c r="J29" s="572">
        <f>'MPFM_Horario_18&amp;19_04'!Q21</f>
        <v>0.129</v>
      </c>
      <c r="K29" s="572">
        <f>'MPFM_Horario_18&amp;19_04'!R21</f>
        <v>141.17500000000001</v>
      </c>
      <c r="L29" s="573">
        <f>'MPFM_Horario_18&amp;19_04'!S21</f>
        <v>141.303</v>
      </c>
      <c r="M29" s="670">
        <v>1.00953293661294</v>
      </c>
      <c r="N29" s="235">
        <v>1</v>
      </c>
      <c r="O29" s="235">
        <v>1</v>
      </c>
      <c r="P29" s="673">
        <v>1.00953293661294</v>
      </c>
      <c r="Q29" s="905">
        <f t="shared" si="6"/>
        <v>142.52081232633182</v>
      </c>
      <c r="R29" s="572">
        <f t="shared" si="6"/>
        <v>0</v>
      </c>
      <c r="S29" s="573">
        <f t="shared" si="6"/>
        <v>0.129</v>
      </c>
      <c r="T29" s="906">
        <f t="shared" si="6"/>
        <v>142.52081232633182</v>
      </c>
      <c r="U29" s="573">
        <f t="shared" si="7"/>
        <v>142.64981232633181</v>
      </c>
      <c r="V29" s="394">
        <f>'MPFM_Horario_18&amp;19_04'!AS21</f>
        <v>610.6</v>
      </c>
      <c r="W29" s="239">
        <f>'MPFM_Horario_18&amp;19_04'!AT21</f>
        <v>76.680000000000007</v>
      </c>
      <c r="X29" s="237">
        <f>'MPFM_Horario_18&amp;19_04'!AU21</f>
        <v>633.19000000000005</v>
      </c>
      <c r="Y29" s="237">
        <f>'MPFM_Horario_18&amp;19_04'!AV21</f>
        <v>573.91999999999996</v>
      </c>
      <c r="Z29" s="238">
        <f>'MPFM_Horario_18&amp;19_04'!AW21</f>
        <v>1142.54</v>
      </c>
      <c r="AA29" s="234">
        <f>'MPFM_Horario_18&amp;19_04'!AI21</f>
        <v>106.752</v>
      </c>
      <c r="AB29" s="237">
        <f>'MPFM_Horario_18&amp;19_04'!AJ21</f>
        <v>35.762999999999998</v>
      </c>
      <c r="AC29" s="524">
        <f>'MPFM_Horario_18&amp;19_04'!AK21</f>
        <v>0.129</v>
      </c>
      <c r="AD29" s="242">
        <f t="shared" si="8"/>
        <v>142.51499999999999</v>
      </c>
      <c r="AE29" s="250">
        <f t="shared" si="9"/>
        <v>142.64399999999998</v>
      </c>
      <c r="AF29" s="243">
        <f>'MPFM_Horario_18&amp;19_04'!AN13</f>
        <v>124.167</v>
      </c>
      <c r="AG29" s="243">
        <f>'MPFM_Horario_18&amp;19_04'!AO21/1000</f>
        <v>41.063000000000002</v>
      </c>
      <c r="AH29" s="243">
        <f>'MPFM_Horario_18&amp;19_04'!AP21</f>
        <v>0.104</v>
      </c>
      <c r="AI29" s="109"/>
      <c r="AJ29" s="91">
        <f>'SEP_18&amp;19_04_OLEO'!E22</f>
        <v>48.26</v>
      </c>
      <c r="AK29" s="94">
        <f>'SEP_18&amp;19_04_OLEO'!D22</f>
        <v>86.489739999999998</v>
      </c>
      <c r="AL29" s="91">
        <v>143.25700000000001</v>
      </c>
      <c r="AM29" s="167">
        <f t="shared" si="32"/>
        <v>801.4</v>
      </c>
      <c r="AN29" s="93">
        <f t="shared" si="10"/>
        <v>114.80615979999999</v>
      </c>
      <c r="AO29" s="735">
        <f t="shared" si="11"/>
        <v>113.97383663000001</v>
      </c>
      <c r="AP29" s="92">
        <f>'SEP_18&amp;19_04_GAS'!I23</f>
        <v>27.463200000000001</v>
      </c>
      <c r="AQ29" s="92">
        <f>'SEP_18&amp;19_04_AGUA'!J23</f>
        <v>0</v>
      </c>
      <c r="AR29" s="92">
        <f>AN29+AP29</f>
        <v>142.26935979999999</v>
      </c>
      <c r="AS29" s="93">
        <f>AN29+AP29+AQ29</f>
        <v>142.26935979999999</v>
      </c>
      <c r="AT29" s="281">
        <f t="shared" si="12"/>
        <v>-0.17674397824332652</v>
      </c>
      <c r="AU29" s="281">
        <f t="shared" si="13"/>
        <v>-0.26741705091430557</v>
      </c>
      <c r="AV29" s="145">
        <v>72.69</v>
      </c>
      <c r="AW29" s="92">
        <v>0.84030000000000005</v>
      </c>
      <c r="AX29" s="93">
        <f t="shared" si="14"/>
        <v>0.05</v>
      </c>
      <c r="AY29" s="545">
        <f>'SEP_18&amp;19_04_OLEO'!J22*(1-AX29/100)</f>
        <v>140.8505395</v>
      </c>
      <c r="AZ29" s="153">
        <f t="shared" si="38"/>
        <v>118.35670834185001</v>
      </c>
      <c r="BA29" s="727">
        <v>861.88300000000004</v>
      </c>
      <c r="BB29" s="153">
        <f t="shared" si="33"/>
        <v>102.00963485579872</v>
      </c>
      <c r="BC29" s="544">
        <f t="shared" si="34"/>
        <v>8603.3491293690768</v>
      </c>
      <c r="BD29" s="153">
        <f>('SEP_18&amp;19_04_GAS'!H23+BC29)/1000</f>
        <v>41.844149129369079</v>
      </c>
      <c r="BE29" s="153">
        <f t="shared" si="16"/>
        <v>32.68864929986313</v>
      </c>
      <c r="BF29" s="386">
        <f>'SEP_18&amp;19_04_OLEO'!J22*(AX29/100)</f>
        <v>7.0460499999999995E-2</v>
      </c>
      <c r="BG29" s="153">
        <f>'SEP_18&amp;19_04_AGUA'!K23+'5.1 TotalHorario_Acomp18&amp;19_04'!BF29</f>
        <v>7.0460499999999995E-2</v>
      </c>
      <c r="BH29" s="589">
        <f t="shared" si="37"/>
        <v>0</v>
      </c>
      <c r="BI29" s="548">
        <f t="shared" si="18"/>
        <v>134.69828415566184</v>
      </c>
      <c r="BJ29" s="546">
        <f t="shared" si="19"/>
        <v>134.69828415566184</v>
      </c>
      <c r="BK29" s="110"/>
      <c r="BL29" s="176"/>
      <c r="BM29" s="177"/>
      <c r="BN29" s="177"/>
      <c r="BO29" s="176"/>
      <c r="BP29" s="177"/>
      <c r="BQ29" s="178"/>
      <c r="BR29" s="110"/>
      <c r="BS29" s="110"/>
      <c r="BT29" s="91">
        <f t="shared" si="20"/>
        <v>-24.140388089465418</v>
      </c>
      <c r="BU29" s="761">
        <f t="shared" si="21"/>
        <v>8.0541597999999937</v>
      </c>
      <c r="BV29" s="91">
        <f t="shared" si="22"/>
        <v>100</v>
      </c>
      <c r="BW29" s="761">
        <f t="shared" si="23"/>
        <v>27.463200000000001</v>
      </c>
      <c r="BX29" s="762" t="e">
        <f t="shared" si="24"/>
        <v>#DIV/0!</v>
      </c>
      <c r="BY29" s="92">
        <f t="shared" si="25"/>
        <v>-0.129</v>
      </c>
      <c r="BZ29" s="924">
        <f t="shared" si="26"/>
        <v>-0.17674397824332652</v>
      </c>
      <c r="CA29" s="435">
        <f t="shared" si="36"/>
        <v>-0.2514525263318319</v>
      </c>
      <c r="CB29" s="924">
        <f t="shared" si="27"/>
        <v>-0.26741705091430557</v>
      </c>
      <c r="CC29" s="93">
        <f t="shared" si="2"/>
        <v>-0.38045252633182258</v>
      </c>
      <c r="CD29" s="169" t="str">
        <f t="shared" si="28"/>
        <v>OK</v>
      </c>
      <c r="CE29" s="170" t="str">
        <f t="shared" si="29"/>
        <v>OK</v>
      </c>
      <c r="CG29" s="95">
        <f>IF(Q29="","",Q29-Q28)</f>
        <v>4.0381317464834865E-3</v>
      </c>
      <c r="CH29" s="76">
        <f>IF(R29="","",R29-R28)</f>
        <v>0</v>
      </c>
      <c r="CI29" s="33">
        <f>IF(S29="","",S29-S28)</f>
        <v>0</v>
      </c>
      <c r="CJ29" s="76">
        <f t="shared" si="3"/>
        <v>4.0381317464834865E-3</v>
      </c>
      <c r="CK29" s="97">
        <f t="shared" si="4"/>
        <v>4.0381317464834865E-3</v>
      </c>
      <c r="CL29" s="98">
        <f>IF(AN29="","",AN29-AN28)</f>
        <v>0.944850599999981</v>
      </c>
      <c r="CM29" s="76">
        <f t="shared" si="30"/>
        <v>-0.32620000000000005</v>
      </c>
      <c r="CN29" s="76">
        <f t="shared" si="30"/>
        <v>0</v>
      </c>
      <c r="CO29" s="76">
        <f t="shared" si="5"/>
        <v>0.61865059999998095</v>
      </c>
      <c r="CP29" s="47">
        <f t="shared" si="31"/>
        <v>0.61865059999998095</v>
      </c>
      <c r="CQ29" s="75" t="s">
        <v>12</v>
      </c>
      <c r="CR29" s="96"/>
    </row>
    <row r="30" spans="1:96" ht="24.75" customHeight="1" x14ac:dyDescent="0.25">
      <c r="A30" s="142">
        <v>46131.166666666664</v>
      </c>
      <c r="B30" s="142">
        <v>46131.208332175927</v>
      </c>
      <c r="C30" s="90">
        <f t="shared" si="0"/>
        <v>0.99997222231468186</v>
      </c>
      <c r="D30" s="258" cm="1">
        <f t="array" ref="D30">_xll.PITimeDat('5.1 TotalHorario_Acomp18&amp;19_04'!$D$7,B30,"","interpolated")</f>
        <v>453.16228288780894</v>
      </c>
      <c r="E30" s="258" cm="1">
        <f t="array" ref="E30">_xll.PITimeDat('5.1 TotalHorario_Acomp18&amp;19_04'!$E$7,B30,"","interpolated")</f>
        <v>5.0040790008960258E-2</v>
      </c>
      <c r="F30" s="258" cm="1">
        <f t="array" ref="F30">_xll.PITimeDat('5.1 TotalHorario_Acomp18&amp;19_04'!$F$7,B30,"","interpolated")</f>
        <v>5.0040790008960258E-2</v>
      </c>
      <c r="G30" s="258" cm="1">
        <f t="array" ref="G30">_xll.PITimeDat('5.1 TotalHorario_Acomp18&amp;19_04'!$G$7,B30,"","interpolated")</f>
        <v>6.579569021024759</v>
      </c>
      <c r="H30" s="669">
        <f>'MPFM_Horario_18&amp;19_04'!O22</f>
        <v>141.13900000000001</v>
      </c>
      <c r="I30" s="572">
        <f>'MPFM_Horario_18&amp;19_04'!P22</f>
        <v>0</v>
      </c>
      <c r="J30" s="572">
        <f>'MPFM_Horario_18&amp;19_04'!Q22</f>
        <v>0.129</v>
      </c>
      <c r="K30" s="572">
        <f>'MPFM_Horario_18&amp;19_04'!R22</f>
        <v>141.13900000000001</v>
      </c>
      <c r="L30" s="573">
        <f>'MPFM_Horario_18&amp;19_04'!S22</f>
        <v>141.268</v>
      </c>
      <c r="M30" s="670">
        <v>1.00953293661294</v>
      </c>
      <c r="N30" s="235">
        <v>1</v>
      </c>
      <c r="O30" s="235">
        <v>1</v>
      </c>
      <c r="P30" s="673">
        <v>1.00953293661294</v>
      </c>
      <c r="Q30" s="905">
        <f t="shared" si="6"/>
        <v>142.48446914061375</v>
      </c>
      <c r="R30" s="572">
        <f t="shared" si="6"/>
        <v>0</v>
      </c>
      <c r="S30" s="573">
        <f t="shared" si="6"/>
        <v>0.129</v>
      </c>
      <c r="T30" s="906">
        <f t="shared" si="6"/>
        <v>142.48446914061375</v>
      </c>
      <c r="U30" s="573">
        <f t="shared" si="7"/>
        <v>142.61346914061374</v>
      </c>
      <c r="V30" s="394">
        <f>'MPFM_Horario_18&amp;19_04'!AS22</f>
        <v>610.57000000000005</v>
      </c>
      <c r="W30" s="239">
        <f>'MPFM_Horario_18&amp;19_04'!AT22</f>
        <v>76.709999999999994</v>
      </c>
      <c r="X30" s="237">
        <f>'MPFM_Horario_18&amp;19_04'!AU22</f>
        <v>633.16</v>
      </c>
      <c r="Y30" s="237">
        <f>'MPFM_Horario_18&amp;19_04'!AV22</f>
        <v>573.89</v>
      </c>
      <c r="Z30" s="238">
        <f>'MPFM_Horario_18&amp;19_04'!AW22</f>
        <v>1142.54</v>
      </c>
      <c r="AA30" s="234">
        <f>'MPFM_Horario_18&amp;19_04'!AI22</f>
        <v>106.72499999999999</v>
      </c>
      <c r="AB30" s="237">
        <f>'MPFM_Horario_18&amp;19_04'!AJ22</f>
        <v>35.753999999999998</v>
      </c>
      <c r="AC30" s="524">
        <f>'MPFM_Horario_18&amp;19_04'!AK22</f>
        <v>0.129</v>
      </c>
      <c r="AD30" s="242">
        <f t="shared" si="8"/>
        <v>142.47899999999998</v>
      </c>
      <c r="AE30" s="250">
        <f t="shared" si="9"/>
        <v>142.60799999999998</v>
      </c>
      <c r="AF30" s="243">
        <f>'MPFM_Horario_18&amp;19_04'!AN14</f>
        <v>124.202</v>
      </c>
      <c r="AG30" s="243">
        <f>'MPFM_Horario_18&amp;19_04'!AO22/1000</f>
        <v>41.052</v>
      </c>
      <c r="AH30" s="243">
        <f>'MPFM_Horario_18&amp;19_04'!AP22</f>
        <v>0.10299999999999999</v>
      </c>
      <c r="AI30" s="109"/>
      <c r="AJ30" s="91">
        <f>'SEP_18&amp;19_04_OLEO'!E23</f>
        <v>48.31</v>
      </c>
      <c r="AK30" s="94">
        <f>'SEP_18&amp;19_04_OLEO'!D23</f>
        <v>86.500630000000001</v>
      </c>
      <c r="AL30" s="91">
        <v>142.01</v>
      </c>
      <c r="AM30" s="167">
        <f t="shared" si="32"/>
        <v>801.4</v>
      </c>
      <c r="AN30" s="93">
        <f t="shared" si="10"/>
        <v>113.80681399999999</v>
      </c>
      <c r="AO30" s="735">
        <f t="shared" si="11"/>
        <v>112.9817359</v>
      </c>
      <c r="AP30" s="92">
        <f>'SEP_18&amp;19_04_GAS'!I24</f>
        <v>27.245699999999999</v>
      </c>
      <c r="AQ30" s="92">
        <f>'SEP_18&amp;19_04_AGUA'!J24</f>
        <v>0</v>
      </c>
      <c r="AR30" s="92">
        <f>AN30+AP30</f>
        <v>141.05251399999997</v>
      </c>
      <c r="AS30" s="93">
        <f>AN30+AP30+AQ30</f>
        <v>141.05251399999997</v>
      </c>
      <c r="AT30" s="281">
        <f t="shared" si="12"/>
        <v>-1.0151929235474533</v>
      </c>
      <c r="AU30" s="281">
        <f t="shared" si="13"/>
        <v>-1.1066482236635438</v>
      </c>
      <c r="AV30" s="145">
        <v>72.69</v>
      </c>
      <c r="AW30" s="92">
        <v>0.84030000000000005</v>
      </c>
      <c r="AX30" s="93">
        <f t="shared" si="14"/>
        <v>0.05</v>
      </c>
      <c r="AY30" s="545">
        <f>'SEP_18&amp;19_04_OLEO'!J23*(1-AX30/100)</f>
        <v>139.61915550000001</v>
      </c>
      <c r="AZ30" s="153">
        <f t="shared" si="38"/>
        <v>117.32197636665001</v>
      </c>
      <c r="BA30" s="727">
        <v>861.88300000000004</v>
      </c>
      <c r="BB30" s="153">
        <f t="shared" si="33"/>
        <v>101.11781695681741</v>
      </c>
      <c r="BC30" s="544">
        <f t="shared" si="34"/>
        <v>8528.134462091788</v>
      </c>
      <c r="BD30" s="153">
        <f>('SEP_18&amp;19_04_GAS'!H24+BC30)/1000</f>
        <v>41.505534462091788</v>
      </c>
      <c r="BE30" s="153">
        <f t="shared" si="16"/>
        <v>32.424123521786107</v>
      </c>
      <c r="BF30" s="386">
        <f>'SEP_18&amp;19_04_OLEO'!J23*(AX30/100)</f>
        <v>6.9844500000000004E-2</v>
      </c>
      <c r="BG30" s="153">
        <f>'SEP_18&amp;19_04_AGUA'!K24+'5.1 TotalHorario_Acomp18&amp;19_04'!BF30</f>
        <v>6.9844500000000004E-2</v>
      </c>
      <c r="BH30" s="589">
        <f t="shared" si="37"/>
        <v>0</v>
      </c>
      <c r="BI30" s="548">
        <f t="shared" si="18"/>
        <v>133.54194047860352</v>
      </c>
      <c r="BJ30" s="546">
        <f t="shared" si="19"/>
        <v>133.54194047860352</v>
      </c>
      <c r="BK30" s="111"/>
      <c r="BL30" s="176"/>
      <c r="BM30" s="177"/>
      <c r="BN30" s="177"/>
      <c r="BO30" s="176"/>
      <c r="BP30" s="177"/>
      <c r="BQ30" s="178"/>
      <c r="BR30" s="111"/>
      <c r="BS30" s="111"/>
      <c r="BT30" s="91">
        <f t="shared" si="20"/>
        <v>-25.198539641583999</v>
      </c>
      <c r="BU30" s="761">
        <f t="shared" si="21"/>
        <v>7.0818139999999943</v>
      </c>
      <c r="BV30" s="91">
        <f t="shared" si="22"/>
        <v>100</v>
      </c>
      <c r="BW30" s="761">
        <f t="shared" si="23"/>
        <v>27.245699999999999</v>
      </c>
      <c r="BX30" s="762" t="e">
        <f t="shared" si="24"/>
        <v>#DIV/0!</v>
      </c>
      <c r="BY30" s="92">
        <f t="shared" si="25"/>
        <v>-0.129</v>
      </c>
      <c r="BZ30" s="924">
        <f t="shared" si="26"/>
        <v>-1.0151929235474533</v>
      </c>
      <c r="CA30" s="435">
        <f t="shared" si="36"/>
        <v>-1.4319551406137805</v>
      </c>
      <c r="CB30" s="924">
        <f t="shared" si="27"/>
        <v>-1.1066482236635438</v>
      </c>
      <c r="CC30" s="93">
        <f t="shared" si="2"/>
        <v>-1.5609551406137712</v>
      </c>
      <c r="CD30" s="169" t="str">
        <f t="shared" si="28"/>
        <v>OK</v>
      </c>
      <c r="CE30" s="170" t="str">
        <f t="shared" si="29"/>
        <v>OK</v>
      </c>
      <c r="CG30" s="95">
        <f>IF(Q30="","",Q30-Q29)</f>
        <v>-3.6343185718067161E-2</v>
      </c>
      <c r="CH30" s="76">
        <f>IF(R30="","",R30-R29)</f>
        <v>0</v>
      </c>
      <c r="CI30" s="33">
        <f>IF(S30="","",S30-S29)</f>
        <v>0</v>
      </c>
      <c r="CJ30" s="76">
        <f t="shared" si="3"/>
        <v>-3.6343185718067161E-2</v>
      </c>
      <c r="CK30" s="97">
        <f t="shared" si="4"/>
        <v>-3.6343185718067161E-2</v>
      </c>
      <c r="CL30" s="98">
        <f>IF(AN30="","",AN30-AN29)</f>
        <v>-0.99934580000000039</v>
      </c>
      <c r="CM30" s="76">
        <f t="shared" si="30"/>
        <v>-0.21750000000000114</v>
      </c>
      <c r="CN30" s="76">
        <f t="shared" si="30"/>
        <v>0</v>
      </c>
      <c r="CO30" s="76">
        <f t="shared" si="5"/>
        <v>-1.2168458000000015</v>
      </c>
      <c r="CP30" s="47">
        <f t="shared" si="31"/>
        <v>-1.2168458000000015</v>
      </c>
      <c r="CQ30" s="75" t="s">
        <v>12</v>
      </c>
      <c r="CR30" s="96"/>
    </row>
    <row r="31" spans="1:96" ht="24.75" customHeight="1" x14ac:dyDescent="0.25">
      <c r="A31" s="142">
        <v>46131.208333333336</v>
      </c>
      <c r="B31" s="142">
        <v>46131.249998784719</v>
      </c>
      <c r="C31" s="90">
        <f t="shared" si="0"/>
        <v>0.99997083318885416</v>
      </c>
      <c r="D31" s="258" cm="1">
        <f t="array" ref="D31">_xll.PITimeDat('5.1 TotalHorario_Acomp18&amp;19_04'!$D$7,B31,"","interpolated")</f>
        <v>453.13095835582067</v>
      </c>
      <c r="E31" s="258" cm="1">
        <f t="array" ref="E31">_xll.PITimeDat('5.1 TotalHorario_Acomp18&amp;19_04'!$E$7,B31,"","interpolated")</f>
        <v>5.0040766451061973E-2</v>
      </c>
      <c r="F31" s="258" cm="1">
        <f t="array" ref="F31">_xll.PITimeDat('5.1 TotalHorario_Acomp18&amp;19_04'!$F$7,B31,"","interpolated")</f>
        <v>5.0040766451061973E-2</v>
      </c>
      <c r="G31" s="258" cm="1">
        <f t="array" ref="G31">_xll.PITimeDat('5.1 TotalHorario_Acomp18&amp;19_04'!$G$7,B31,"","interpolated")</f>
        <v>6.5794398207824054</v>
      </c>
      <c r="H31" s="669">
        <f>'MPFM_Horario_18&amp;19_04'!O23</f>
        <v>141.10400000000001</v>
      </c>
      <c r="I31" s="572">
        <f>'MPFM_Horario_18&amp;19_04'!P23</f>
        <v>0</v>
      </c>
      <c r="J31" s="572">
        <f>'MPFM_Horario_18&amp;19_04'!Q23</f>
        <v>0.129</v>
      </c>
      <c r="K31" s="572">
        <f>'MPFM_Horario_18&amp;19_04'!R23</f>
        <v>141.10400000000001</v>
      </c>
      <c r="L31" s="573">
        <f>'MPFM_Horario_18&amp;19_04'!S23</f>
        <v>141.233</v>
      </c>
      <c r="M31" s="670">
        <v>1.00953293661294</v>
      </c>
      <c r="N31" s="235">
        <v>1</v>
      </c>
      <c r="O31" s="235">
        <v>1</v>
      </c>
      <c r="P31" s="673">
        <v>1.00953293661294</v>
      </c>
      <c r="Q31" s="905">
        <f t="shared" si="6"/>
        <v>142.44913548783231</v>
      </c>
      <c r="R31" s="572">
        <f t="shared" si="6"/>
        <v>0</v>
      </c>
      <c r="S31" s="573">
        <f t="shared" si="6"/>
        <v>0.129</v>
      </c>
      <c r="T31" s="906">
        <f t="shared" si="6"/>
        <v>142.44913548783231</v>
      </c>
      <c r="U31" s="573">
        <f t="shared" si="7"/>
        <v>142.5781354878323</v>
      </c>
      <c r="V31" s="394">
        <f>'MPFM_Horario_18&amp;19_04'!AS23</f>
        <v>610.53</v>
      </c>
      <c r="W31" s="239">
        <f>'MPFM_Horario_18&amp;19_04'!AT23</f>
        <v>76.75</v>
      </c>
      <c r="X31" s="237">
        <f>'MPFM_Horario_18&amp;19_04'!AU23</f>
        <v>633.13</v>
      </c>
      <c r="Y31" s="237">
        <f>'MPFM_Horario_18&amp;19_04'!AV23</f>
        <v>573.87</v>
      </c>
      <c r="Z31" s="238">
        <f>'MPFM_Horario_18&amp;19_04'!AW23</f>
        <v>1142.54</v>
      </c>
      <c r="AA31" s="234">
        <f>'MPFM_Horario_18&amp;19_04'!AI23</f>
        <v>106.699</v>
      </c>
      <c r="AB31" s="237">
        <f>'MPFM_Horario_18&amp;19_04'!AJ23</f>
        <v>35.746000000000002</v>
      </c>
      <c r="AC31" s="524">
        <f>'MPFM_Horario_18&amp;19_04'!AK23</f>
        <v>0.129</v>
      </c>
      <c r="AD31" s="242">
        <f>AA31+AB31</f>
        <v>142.44499999999999</v>
      </c>
      <c r="AE31" s="250">
        <f>AA31+AB31+AC31</f>
        <v>142.57399999999998</v>
      </c>
      <c r="AF31" s="243">
        <f>'MPFM_Horario_18&amp;19_04'!AN15</f>
        <v>124.19799999999999</v>
      </c>
      <c r="AG31" s="243">
        <f>'MPFM_Horario_18&amp;19_04'!AO23/1000</f>
        <v>41.042000000000002</v>
      </c>
      <c r="AH31" s="243">
        <f>'MPFM_Horario_18&amp;19_04'!AP23</f>
        <v>0.10299999999999999</v>
      </c>
      <c r="AI31" s="109"/>
      <c r="AJ31" s="91">
        <f>'SEP_18&amp;19_04_OLEO'!E24</f>
        <v>48.32</v>
      </c>
      <c r="AK31" s="94">
        <f>'SEP_18&amp;19_04_OLEO'!D24</f>
        <v>86.489670000000004</v>
      </c>
      <c r="AL31" s="91">
        <v>142.31299999999999</v>
      </c>
      <c r="AM31" s="167">
        <f t="shared" si="32"/>
        <v>801.4</v>
      </c>
      <c r="AN31" s="93">
        <f t="shared" si="10"/>
        <v>114.04963819999999</v>
      </c>
      <c r="AO31" s="735">
        <f t="shared" si="11"/>
        <v>113.22279966999999</v>
      </c>
      <c r="AP31" s="92">
        <f>'SEP_18&amp;19_04_GAS'!I25</f>
        <v>27.2973</v>
      </c>
      <c r="AQ31" s="92">
        <f>'SEP_18&amp;19_04_AGUA'!J25</f>
        <v>0</v>
      </c>
      <c r="AR31" s="92">
        <f>AN31+AP31</f>
        <v>141.34693819999998</v>
      </c>
      <c r="AS31" s="93">
        <f>AN31+AP31+AQ31</f>
        <v>141.34693819999998</v>
      </c>
      <c r="AT31" s="281">
        <f t="shared" si="12"/>
        <v>-0.7797815091493262</v>
      </c>
      <c r="AU31" s="281">
        <f t="shared" si="13"/>
        <v>-0.87104630882787404</v>
      </c>
      <c r="AV31" s="145">
        <v>72.69</v>
      </c>
      <c r="AW31" s="92">
        <v>0.84030000000000005</v>
      </c>
      <c r="AX31" s="93">
        <f t="shared" si="14"/>
        <v>0.01</v>
      </c>
      <c r="AY31" s="545">
        <f>'SEP_18&amp;19_04_OLEO'!J24*(1-AX31/100)</f>
        <v>139.97100150000003</v>
      </c>
      <c r="AZ31" s="153">
        <f t="shared" si="38"/>
        <v>117.61763256045003</v>
      </c>
      <c r="BA31" s="727">
        <v>861.88300000000004</v>
      </c>
      <c r="BB31" s="153">
        <f t="shared" si="33"/>
        <v>101.37263800409836</v>
      </c>
      <c r="BC31" s="544">
        <f t="shared" si="34"/>
        <v>8549.625710819113</v>
      </c>
      <c r="BD31" s="153">
        <f>('SEP_18&amp;19_04_GAS'!H25+BC31)/1000</f>
        <v>41.589525710819117</v>
      </c>
      <c r="BE31" s="153">
        <f t="shared" si="16"/>
        <v>32.489737485291897</v>
      </c>
      <c r="BF31" s="386">
        <f>'SEP_18&amp;19_04_OLEO'!J24*(AX31/100)</f>
        <v>1.3998500000000002E-2</v>
      </c>
      <c r="BG31" s="153">
        <f>'SEP_18&amp;19_04_AGUA'!K25+'5.1 TotalHorario_Acomp18&amp;19_04'!BF31</f>
        <v>1.3998500000000002E-2</v>
      </c>
      <c r="BH31" s="589">
        <f t="shared" si="37"/>
        <v>0</v>
      </c>
      <c r="BI31" s="548">
        <f t="shared" si="18"/>
        <v>133.86237548939027</v>
      </c>
      <c r="BJ31" s="546">
        <f t="shared" si="19"/>
        <v>133.86237548939027</v>
      </c>
      <c r="BK31" s="111"/>
      <c r="BL31" s="176"/>
      <c r="BM31" s="177"/>
      <c r="BN31" s="177"/>
      <c r="BO31" s="176"/>
      <c r="BP31" s="177"/>
      <c r="BQ31" s="178"/>
      <c r="BR31" s="111"/>
      <c r="BS31" s="111"/>
      <c r="BT31" s="91">
        <f t="shared" si="20"/>
        <v>-24.900997264042456</v>
      </c>
      <c r="BU31" s="761">
        <f t="shared" si="21"/>
        <v>7.3506381999999917</v>
      </c>
      <c r="BV31" s="91">
        <f t="shared" si="22"/>
        <v>100</v>
      </c>
      <c r="BW31" s="761">
        <f t="shared" si="23"/>
        <v>27.2973</v>
      </c>
      <c r="BX31" s="762" t="e">
        <f t="shared" si="24"/>
        <v>#DIV/0!</v>
      </c>
      <c r="BY31" s="92">
        <f t="shared" si="25"/>
        <v>-0.129</v>
      </c>
      <c r="BZ31" s="924">
        <f t="shared" si="26"/>
        <v>-0.7797815091493262</v>
      </c>
      <c r="CA31" s="435">
        <f t="shared" si="36"/>
        <v>-1.1021972878323254</v>
      </c>
      <c r="CB31" s="924">
        <f t="shared" si="27"/>
        <v>-0.87104630882787404</v>
      </c>
      <c r="CC31" s="93">
        <f t="shared" si="2"/>
        <v>-1.2311972878323161</v>
      </c>
      <c r="CD31" s="169" t="str">
        <f t="shared" si="28"/>
        <v>OK</v>
      </c>
      <c r="CE31" s="170" t="str">
        <f t="shared" si="29"/>
        <v>OK</v>
      </c>
      <c r="CG31" s="513"/>
      <c r="CH31" s="514"/>
      <c r="CI31" s="515"/>
      <c r="CJ31" s="514"/>
      <c r="CK31" s="516"/>
      <c r="CL31" s="517"/>
      <c r="CM31" s="514"/>
      <c r="CN31" s="514"/>
      <c r="CO31" s="514"/>
      <c r="CP31" s="518"/>
      <c r="CQ31" s="519"/>
      <c r="CR31" s="520"/>
    </row>
    <row r="32" spans="1:96" ht="24.75" customHeight="1" x14ac:dyDescent="0.25">
      <c r="A32" s="142">
        <v>46131.25</v>
      </c>
      <c r="B32" s="142">
        <v>46131.291665393517</v>
      </c>
      <c r="C32" s="90">
        <f t="shared" si="0"/>
        <v>0.99996944441227242</v>
      </c>
      <c r="D32" s="258" cm="1">
        <f t="array" ref="D32">_xll.PITimeDat('5.1 TotalHorario_Acomp18&amp;19_04'!$D$7,B32,"","interpolated")</f>
        <v>452.97154300264384</v>
      </c>
      <c r="E32" s="258" cm="1">
        <f t="array" ref="E32">_xll.PITimeDat('5.1 TotalHorario_Acomp18&amp;19_04'!$E$7,B32,"","interpolated")</f>
        <v>5.0040813219654562E-2</v>
      </c>
      <c r="F32" s="258" cm="1">
        <f t="array" ref="F32">_xll.PITimeDat('5.1 TotalHorario_Acomp18&amp;19_04'!$F$7,B32,"","interpolated")</f>
        <v>5.0040813219654562E-2</v>
      </c>
      <c r="G32" s="258" cm="1">
        <f t="array" ref="G32">_xll.PITimeDat('5.1 TotalHorario_Acomp18&amp;19_04'!$G$7,B32,"","interpolated")</f>
        <v>6.5783492631401934</v>
      </c>
      <c r="H32" s="669">
        <f>'MPFM_Horario_18&amp;19_04'!O24</f>
        <v>141.08600000000001</v>
      </c>
      <c r="I32" s="572">
        <f>'MPFM_Horario_18&amp;19_04'!P24</f>
        <v>0</v>
      </c>
      <c r="J32" s="572">
        <f>'MPFM_Horario_18&amp;19_04'!Q24</f>
        <v>0.129</v>
      </c>
      <c r="K32" s="572">
        <f>'MPFM_Horario_18&amp;19_04'!R24</f>
        <v>141.08600000000001</v>
      </c>
      <c r="L32" s="573">
        <f>'MPFM_Horario_18&amp;19_04'!S24</f>
        <v>141.215</v>
      </c>
      <c r="M32" s="670">
        <v>1.00953293661294</v>
      </c>
      <c r="N32" s="235">
        <v>1</v>
      </c>
      <c r="O32" s="235">
        <v>1</v>
      </c>
      <c r="P32" s="673">
        <v>1.00953293661294</v>
      </c>
      <c r="Q32" s="905">
        <f t="shared" si="6"/>
        <v>142.43096389497327</v>
      </c>
      <c r="R32" s="572">
        <f t="shared" si="6"/>
        <v>0</v>
      </c>
      <c r="S32" s="573">
        <f t="shared" si="6"/>
        <v>0.129</v>
      </c>
      <c r="T32" s="906">
        <f t="shared" si="6"/>
        <v>142.43096389497327</v>
      </c>
      <c r="U32" s="573">
        <f t="shared" si="7"/>
        <v>142.55996389497327</v>
      </c>
      <c r="V32" s="394">
        <f>'MPFM_Horario_18&amp;19_04'!AS24</f>
        <v>610.5</v>
      </c>
      <c r="W32" s="239">
        <f>'MPFM_Horario_18&amp;19_04'!AT24</f>
        <v>76.760000000000005</v>
      </c>
      <c r="X32" s="237">
        <f>'MPFM_Horario_18&amp;19_04'!AU24</f>
        <v>633.12</v>
      </c>
      <c r="Y32" s="237">
        <f>'MPFM_Horario_18&amp;19_04'!AV24</f>
        <v>573.85</v>
      </c>
      <c r="Z32" s="238">
        <f>'MPFM_Horario_18&amp;19_04'!AW24</f>
        <v>1142.54</v>
      </c>
      <c r="AA32" s="234">
        <f>'MPFM_Horario_18&amp;19_04'!AI24</f>
        <v>106.68600000000001</v>
      </c>
      <c r="AB32" s="237">
        <f>'MPFM_Horario_18&amp;19_04'!AJ24</f>
        <v>35.741</v>
      </c>
      <c r="AC32" s="524">
        <f>'MPFM_Horario_18&amp;19_04'!AK24</f>
        <v>0.129</v>
      </c>
      <c r="AD32" s="242">
        <f t="shared" ref="AD32:AD33" si="39">AA32+AB32</f>
        <v>142.42700000000002</v>
      </c>
      <c r="AE32" s="250">
        <f t="shared" ref="AE32:AE33" si="40">AA32+AB32+AC32</f>
        <v>142.55600000000001</v>
      </c>
      <c r="AF32" s="243">
        <f>'MPFM_Horario_18&amp;19_04'!AN16</f>
        <v>124.214</v>
      </c>
      <c r="AG32" s="243">
        <f>'MPFM_Horario_18&amp;19_04'!AO24/1000</f>
        <v>41.036999999999999</v>
      </c>
      <c r="AH32" s="243">
        <f>'MPFM_Horario_18&amp;19_04'!AP24</f>
        <v>0.10299999999999999</v>
      </c>
      <c r="AI32" s="109"/>
      <c r="AJ32" s="91">
        <f>'SEP_18&amp;19_04_OLEO'!E25</f>
        <v>48.3</v>
      </c>
      <c r="AK32" s="94">
        <f>'SEP_18&amp;19_04_OLEO'!D25</f>
        <v>86.500110000000006</v>
      </c>
      <c r="AL32" s="91">
        <v>141.995</v>
      </c>
      <c r="AM32" s="167">
        <f t="shared" si="32"/>
        <v>801.4</v>
      </c>
      <c r="AN32" s="93">
        <f t="shared" si="10"/>
        <v>113.794793</v>
      </c>
      <c r="AO32" s="735">
        <f t="shared" si="11"/>
        <v>112.96980205000001</v>
      </c>
      <c r="AP32" s="92">
        <f>'SEP_18&amp;19_04_GAS'!I26</f>
        <v>27.161899999999999</v>
      </c>
      <c r="AQ32" s="92">
        <f>'SEP_18&amp;19_04_AGUA'!J26</f>
        <v>0</v>
      </c>
      <c r="AR32" s="92">
        <f>AN32+AP32</f>
        <v>140.956693</v>
      </c>
      <c r="AS32" s="93">
        <f>AN32+AP32+AQ32</f>
        <v>140.956693</v>
      </c>
      <c r="AT32" s="281">
        <f t="shared" si="12"/>
        <v>-1.0459034357263708</v>
      </c>
      <c r="AU32" s="281">
        <f t="shared" si="13"/>
        <v>-1.1374209062731515</v>
      </c>
      <c r="AV32" s="145">
        <v>72.69</v>
      </c>
      <c r="AW32" s="92">
        <v>0.84030000000000005</v>
      </c>
      <c r="AX32" s="93">
        <f t="shared" si="14"/>
        <v>0.01</v>
      </c>
      <c r="AY32" s="545">
        <f>'SEP_18&amp;19_04_OLEO'!J25*(1-AX32/100)</f>
        <v>139.6610325</v>
      </c>
      <c r="AZ32" s="153">
        <f t="shared" si="38"/>
        <v>117.35716560975001</v>
      </c>
      <c r="BA32" s="727">
        <v>861.88300000000004</v>
      </c>
      <c r="BB32" s="153">
        <f>AZ32*BA32/1000</f>
        <v>101.14814596722817</v>
      </c>
      <c r="BC32" s="544">
        <f t="shared" si="34"/>
        <v>8530.6923681727276</v>
      </c>
      <c r="BD32" s="153">
        <f>('SEP_18&amp;19_04_GAS'!H26+BC32)/1000</f>
        <v>41.406692368172727</v>
      </c>
      <c r="BE32" s="153">
        <f t="shared" si="16"/>
        <v>32.346908078016533</v>
      </c>
      <c r="BF32" s="386">
        <f>'SEP_18&amp;19_04_OLEO'!J25*(AX32/100)</f>
        <v>1.3967500000000002E-2</v>
      </c>
      <c r="BG32" s="153">
        <f>'SEP_18&amp;19_04_AGUA'!K26+'5.1 TotalHorario_Acomp18&amp;19_04'!BF32</f>
        <v>1.3967500000000002E-2</v>
      </c>
      <c r="BH32" s="589">
        <f t="shared" si="37"/>
        <v>0</v>
      </c>
      <c r="BI32" s="548">
        <f t="shared" si="18"/>
        <v>133.4950540452447</v>
      </c>
      <c r="BJ32" s="546">
        <f t="shared" si="19"/>
        <v>133.4950540452447</v>
      </c>
      <c r="BK32" s="111"/>
      <c r="BL32" s="176"/>
      <c r="BM32" s="177"/>
      <c r="BN32" s="177"/>
      <c r="BO32" s="176"/>
      <c r="BP32" s="177"/>
      <c r="BQ32" s="178"/>
      <c r="BR32" s="111"/>
      <c r="BS32" s="111"/>
      <c r="BT32" s="91">
        <f t="shared" si="20"/>
        <v>-25.164746241924512</v>
      </c>
      <c r="BU32" s="761">
        <f t="shared" si="21"/>
        <v>7.1087929999999915</v>
      </c>
      <c r="BV32" s="91">
        <f t="shared" si="22"/>
        <v>100</v>
      </c>
      <c r="BW32" s="761">
        <f t="shared" si="23"/>
        <v>27.161899999999999</v>
      </c>
      <c r="BX32" s="762" t="e">
        <f t="shared" si="24"/>
        <v>#DIV/0!</v>
      </c>
      <c r="BY32" s="92">
        <f t="shared" si="25"/>
        <v>-0.129</v>
      </c>
      <c r="BZ32" s="924">
        <f t="shared" si="26"/>
        <v>-1.0459034357263708</v>
      </c>
      <c r="CA32" s="435">
        <f t="shared" si="36"/>
        <v>-1.474270894973273</v>
      </c>
      <c r="CB32" s="924">
        <f t="shared" si="27"/>
        <v>-1.1374209062731515</v>
      </c>
      <c r="CC32" s="93">
        <f t="shared" si="2"/>
        <v>-1.6032708949732637</v>
      </c>
      <c r="CD32" s="169" t="str">
        <f t="shared" si="28"/>
        <v>OK</v>
      </c>
      <c r="CE32" s="170" t="str">
        <f t="shared" si="29"/>
        <v>OK</v>
      </c>
      <c r="CG32" s="513"/>
      <c r="CH32" s="514"/>
      <c r="CI32" s="515"/>
      <c r="CJ32" s="514"/>
      <c r="CK32" s="516"/>
      <c r="CL32" s="517"/>
      <c r="CM32" s="514"/>
      <c r="CN32" s="514"/>
      <c r="CO32" s="514"/>
      <c r="CP32" s="518"/>
      <c r="CQ32" s="519"/>
      <c r="CR32" s="520"/>
    </row>
    <row r="33" spans="1:97" ht="24.75" customHeight="1" thickBot="1" x14ac:dyDescent="0.3">
      <c r="A33" s="142">
        <v>46131.291666666664</v>
      </c>
      <c r="B33" s="142">
        <v>46131.333332002316</v>
      </c>
      <c r="C33" s="90">
        <f t="shared" si="0"/>
        <v>0.99996805563569069</v>
      </c>
      <c r="D33" s="258" cm="1">
        <f t="array" ref="D33">_xll.PITimeDat('5.1 TotalHorario_Acomp18&amp;19_04'!$D$7,B33,"","interpolated")</f>
        <v>452.86474674069638</v>
      </c>
      <c r="E33" s="258" cm="1">
        <f t="array" ref="E33">_xll.PITimeDat('5.1 TotalHorario_Acomp18&amp;19_04'!$E$7,B33,"","interpolated")</f>
        <v>5.0040789279327251E-2</v>
      </c>
      <c r="F33" s="258" cm="1">
        <f t="array" ref="F33">_xll.PITimeDat('5.1 TotalHorario_Acomp18&amp;19_04'!$F$7,B33,"","interpolated")</f>
        <v>5.0040789279327251E-2</v>
      </c>
      <c r="G33" s="258" cm="1">
        <f t="array" ref="G33">_xll.PITimeDat('5.1 TotalHorario_Acomp18&amp;19_04'!$G$7,B33,"","interpolated")</f>
        <v>6.5776022807562224</v>
      </c>
      <c r="H33" s="669">
        <f>'MPFM_Horario_18&amp;19_04'!O25</f>
        <v>141.13200000000001</v>
      </c>
      <c r="I33" s="572">
        <f>'MPFM_Horario_18&amp;19_04'!P25</f>
        <v>0</v>
      </c>
      <c r="J33" s="572">
        <f>'MPFM_Horario_18&amp;19_04'!Q25</f>
        <v>0.129</v>
      </c>
      <c r="K33" s="572">
        <f>'MPFM_Horario_18&amp;19_04'!R25</f>
        <v>141.13200000000001</v>
      </c>
      <c r="L33" s="573">
        <f>'MPFM_Horario_18&amp;19_04'!S25</f>
        <v>141.26</v>
      </c>
      <c r="M33" s="670">
        <v>1.00953293661294</v>
      </c>
      <c r="N33" s="235">
        <v>1</v>
      </c>
      <c r="O33" s="235">
        <v>1</v>
      </c>
      <c r="P33" s="673">
        <v>1.00953293661294</v>
      </c>
      <c r="Q33" s="905">
        <f t="shared" si="6"/>
        <v>142.47740241005744</v>
      </c>
      <c r="R33" s="572">
        <f t="shared" si="6"/>
        <v>0</v>
      </c>
      <c r="S33" s="573">
        <f t="shared" si="6"/>
        <v>0.129</v>
      </c>
      <c r="T33" s="906">
        <f t="shared" si="6"/>
        <v>142.47740241005744</v>
      </c>
      <c r="U33" s="573">
        <f t="shared" si="7"/>
        <v>142.60640241005743</v>
      </c>
      <c r="V33" s="394">
        <f>'MPFM_Horario_18&amp;19_04'!AS25</f>
        <v>610.46</v>
      </c>
      <c r="W33" s="239">
        <f>'MPFM_Horario_18&amp;19_04'!AT25</f>
        <v>76.790000000000006</v>
      </c>
      <c r="X33" s="237">
        <f>'MPFM_Horario_18&amp;19_04'!AU25</f>
        <v>633.1</v>
      </c>
      <c r="Y33" s="237">
        <f>'MPFM_Horario_18&amp;19_04'!AV25</f>
        <v>573.83000000000004</v>
      </c>
      <c r="Z33" s="238">
        <f>'MPFM_Horario_18&amp;19_04'!AW25</f>
        <v>1142.54</v>
      </c>
      <c r="AA33" s="908">
        <f>'MPFM_Horario_18&amp;19_04'!AI25</f>
        <v>106.72</v>
      </c>
      <c r="AB33" s="909">
        <f>'MPFM_Horario_18&amp;19_04'!AJ25</f>
        <v>35.753</v>
      </c>
      <c r="AC33" s="910">
        <f>'MPFM_Horario_18&amp;19_04'!AK25</f>
        <v>0.129</v>
      </c>
      <c r="AD33" s="242">
        <f t="shared" si="39"/>
        <v>142.47300000000001</v>
      </c>
      <c r="AE33" s="250">
        <f t="shared" si="40"/>
        <v>142.602</v>
      </c>
      <c r="AF33" s="243">
        <f>'MPFM_Horario_18&amp;19_04'!AN17</f>
        <v>124.17100000000001</v>
      </c>
      <c r="AG33" s="243">
        <f>'MPFM_Horario_18&amp;19_04'!AO25/1000</f>
        <v>41.05</v>
      </c>
      <c r="AH33" s="243">
        <f>'MPFM_Horario_18&amp;19_04'!AP25</f>
        <v>0.10299999999999999</v>
      </c>
      <c r="AI33" s="109"/>
      <c r="AJ33" s="91">
        <f>'SEP_18&amp;19_04_OLEO'!E26</f>
        <v>48.26</v>
      </c>
      <c r="AK33" s="94">
        <f>'SEP_18&amp;19_04_OLEO'!D26</f>
        <v>86.490279999999998</v>
      </c>
      <c r="AL33" s="91">
        <v>142.17099999999999</v>
      </c>
      <c r="AM33" s="167">
        <f t="shared" si="32"/>
        <v>801.2</v>
      </c>
      <c r="AN33" s="93">
        <f t="shared" si="10"/>
        <v>113.9074052</v>
      </c>
      <c r="AO33" s="735">
        <f>(AL33*795.59)/1000</f>
        <v>113.10982589</v>
      </c>
      <c r="AP33" s="92">
        <f>'SEP_18&amp;19_04_GAS'!I27</f>
        <v>27.222100000000001</v>
      </c>
      <c r="AQ33" s="92">
        <f>'SEP_18&amp;19_04_AGUA'!J27</f>
        <v>0</v>
      </c>
      <c r="AR33" s="92">
        <f>AN33+AP33</f>
        <v>141.12950520000001</v>
      </c>
      <c r="AS33" s="93">
        <f>AN33+AP33+AQ33</f>
        <v>141.12950520000001</v>
      </c>
      <c r="AT33" s="281">
        <f t="shared" si="12"/>
        <v>-0.95507825110508882</v>
      </c>
      <c r="AU33" s="281">
        <f t="shared" si="13"/>
        <v>-1.046483659079261</v>
      </c>
      <c r="AV33" s="145">
        <v>72.69</v>
      </c>
      <c r="AW33" s="92">
        <v>0.84030000000000005</v>
      </c>
      <c r="AX33" s="93">
        <f t="shared" si="14"/>
        <v>0.01</v>
      </c>
      <c r="AY33" s="545">
        <f>'SEP_18&amp;19_04_OLEO'!J26*(1-AX33/100)</f>
        <v>139.8380148</v>
      </c>
      <c r="AZ33" s="157">
        <f>AY33*AW33</f>
        <v>117.50588383644001</v>
      </c>
      <c r="BA33" s="727">
        <v>861.88300000000004</v>
      </c>
      <c r="BB33" s="153">
        <f t="shared" si="33"/>
        <v>101.27632367860242</v>
      </c>
      <c r="BC33" s="544">
        <f t="shared" si="34"/>
        <v>8541.5026960708237</v>
      </c>
      <c r="BD33" s="153">
        <f>('SEP_18&amp;19_04_GAS'!H27+BC33)/1000</f>
        <v>41.49030269607082</v>
      </c>
      <c r="BE33" s="153">
        <f>(BD33*78.12)/100</f>
        <v>32.412224466170528</v>
      </c>
      <c r="BF33" s="386">
        <f>'SEP_18&amp;19_04_OLEO'!J26*(AX33/100)</f>
        <v>1.3985200000000001E-2</v>
      </c>
      <c r="BG33" s="153">
        <f>'SEP_18&amp;19_04_AGUA'!K27+'5.1 TotalHorario_Acomp18&amp;19_04'!BF33</f>
        <v>1.3985200000000001E-2</v>
      </c>
      <c r="BH33" s="589">
        <f t="shared" si="37"/>
        <v>0</v>
      </c>
      <c r="BI33" s="548">
        <f t="shared" si="18"/>
        <v>133.68854814477294</v>
      </c>
      <c r="BJ33" s="546">
        <f t="shared" si="19"/>
        <v>133.68854814477294</v>
      </c>
      <c r="BK33" s="111"/>
      <c r="BL33" s="176"/>
      <c r="BM33" s="177"/>
      <c r="BN33" s="177"/>
      <c r="BO33" s="176"/>
      <c r="BP33" s="177"/>
      <c r="BQ33" s="178"/>
      <c r="BR33" s="111"/>
      <c r="BS33" s="111"/>
      <c r="BT33" s="91">
        <f t="shared" si="20"/>
        <v>-25.081773357837349</v>
      </c>
      <c r="BU33" s="761">
        <f t="shared" si="21"/>
        <v>7.1874052000000006</v>
      </c>
      <c r="BV33" s="91">
        <f t="shared" si="22"/>
        <v>100</v>
      </c>
      <c r="BW33" s="761">
        <f t="shared" si="23"/>
        <v>27.222100000000001</v>
      </c>
      <c r="BX33" s="762" t="e">
        <f t="shared" si="24"/>
        <v>#DIV/0!</v>
      </c>
      <c r="BY33" s="92">
        <f t="shared" si="25"/>
        <v>-0.129</v>
      </c>
      <c r="BZ33" s="924">
        <f t="shared" si="26"/>
        <v>-0.95507825110508882</v>
      </c>
      <c r="CA33" s="760">
        <f t="shared" si="36"/>
        <v>-1.3478972100574254</v>
      </c>
      <c r="CB33" s="924">
        <f t="shared" si="27"/>
        <v>-1.046483659079261</v>
      </c>
      <c r="CC33" s="230">
        <f t="shared" si="2"/>
        <v>-1.476897210057416</v>
      </c>
      <c r="CD33" s="231" t="str">
        <f t="shared" si="28"/>
        <v>OK</v>
      </c>
      <c r="CE33" s="232" t="str">
        <f t="shared" si="29"/>
        <v>OK</v>
      </c>
      <c r="CG33" s="513"/>
      <c r="CH33" s="514"/>
      <c r="CI33" s="515"/>
      <c r="CJ33" s="514"/>
      <c r="CK33" s="516"/>
      <c r="CL33" s="517"/>
      <c r="CM33" s="514"/>
      <c r="CN33" s="514"/>
      <c r="CO33" s="514"/>
      <c r="CP33" s="518"/>
      <c r="CQ33" s="519"/>
      <c r="CR33" s="520"/>
    </row>
    <row r="34" spans="1:97" s="107" customFormat="1" ht="15.75" thickBot="1" x14ac:dyDescent="0.3">
      <c r="A34" s="883" t="s">
        <v>439</v>
      </c>
      <c r="B34" s="884"/>
      <c r="C34" s="885"/>
      <c r="D34" s="205">
        <f>AVERAGE(D10:D33)</f>
        <v>453.36188303012835</v>
      </c>
      <c r="E34" s="317">
        <f>AVERAGE(E10:E33)</f>
        <v>5.0040701774771268E-2</v>
      </c>
      <c r="F34" s="317">
        <f>AVERAGE(F10:F33)</f>
        <v>5.0040701774771268E-2</v>
      </c>
      <c r="G34" s="209">
        <f>AVERAGE(G10:G33)</f>
        <v>6.5799653898477155</v>
      </c>
      <c r="H34" s="205">
        <f>SUM(H10:H33)</f>
        <v>3388.5760000000005</v>
      </c>
      <c r="I34" s="197">
        <f>SUM(I10:I33)</f>
        <v>0</v>
      </c>
      <c r="J34" s="197">
        <f>SUM(J10:J33)</f>
        <v>3.0960000000000001</v>
      </c>
      <c r="K34" s="344">
        <f>SUM(K10:K33)</f>
        <v>3388.5760000000005</v>
      </c>
      <c r="L34" s="345">
        <f>SUM(L10:L33)</f>
        <v>3391.6660000000002</v>
      </c>
      <c r="M34" s="862"/>
      <c r="N34" s="862"/>
      <c r="O34" s="862"/>
      <c r="P34" s="863"/>
      <c r="Q34" s="205">
        <f>SUM(Q10:Q33)</f>
        <v>3420.8790802161298</v>
      </c>
      <c r="R34" s="675">
        <f>SUM(R10:R33)</f>
        <v>0</v>
      </c>
      <c r="S34" s="682">
        <f>SUM(S10:S33)</f>
        <v>3.0960000000000001</v>
      </c>
      <c r="T34" s="681">
        <f>SUM(T10:T33)</f>
        <v>3420.8790802161298</v>
      </c>
      <c r="U34" s="198">
        <f>SUM(U10:U33)</f>
        <v>3423.9750802161293</v>
      </c>
      <c r="V34" s="205">
        <f>AVERAGE(V10:V33)</f>
        <v>610.84708333333322</v>
      </c>
      <c r="W34" s="197">
        <f>AVERAGE(W10:W33)</f>
        <v>76.377083333333346</v>
      </c>
      <c r="X34" s="197">
        <f>AVERAGE(X10:X33)</f>
        <v>633.41208333333327</v>
      </c>
      <c r="Y34" s="197">
        <f>AVERAGE(Y10:Y33)</f>
        <v>574.16083333333336</v>
      </c>
      <c r="Z34" s="198">
        <f>AVERAGE(Z10:Z33)</f>
        <v>1142.5400000000006</v>
      </c>
      <c r="AA34" s="205">
        <f t="shared" ref="AA34:AH34" si="41">SUM(AA10:AA33)</f>
        <v>2562.3470000000002</v>
      </c>
      <c r="AB34" s="202">
        <f t="shared" si="41"/>
        <v>858.42000000000007</v>
      </c>
      <c r="AC34" s="678">
        <f t="shared" si="41"/>
        <v>3.0960000000000001</v>
      </c>
      <c r="AD34" s="205">
        <f t="shared" si="41"/>
        <v>3420.7669999999998</v>
      </c>
      <c r="AE34" s="678">
        <f t="shared" si="41"/>
        <v>3423.8629999999994</v>
      </c>
      <c r="AF34" s="205">
        <f>SUM(AF10:AF33)</f>
        <v>2980.2129999999997</v>
      </c>
      <c r="AG34" s="197">
        <f t="shared" si="41"/>
        <v>985.61899999999991</v>
      </c>
      <c r="AH34" s="198">
        <f>SUM(AH10:AH33)</f>
        <v>2.4850000000000017</v>
      </c>
      <c r="AI34" s="182"/>
      <c r="AJ34" s="181">
        <f>AVERAGE(AJ10:AJ33)</f>
        <v>47.64708333333332</v>
      </c>
      <c r="AK34" s="348">
        <f>AVERAGE(AK10:AK33)</f>
        <v>82.926994583333325</v>
      </c>
      <c r="AL34" s="183">
        <f>SUM(AL10:AL33)</f>
        <v>3413.8020000000001</v>
      </c>
      <c r="AM34" s="228">
        <f>AVERAGE(AM10:AM33)</f>
        <v>801.5333333333333</v>
      </c>
      <c r="AN34" s="183">
        <f t="shared" ref="AN34:AS34" si="42">SUM(AN10:AN33)</f>
        <v>2736.2763806000007</v>
      </c>
      <c r="AO34" s="736">
        <f t="shared" si="42"/>
        <v>2715.9867331799996</v>
      </c>
      <c r="AP34" s="352">
        <f t="shared" si="42"/>
        <v>661.89159999999981</v>
      </c>
      <c r="AQ34" s="350">
        <f t="shared" si="42"/>
        <v>0</v>
      </c>
      <c r="AR34" s="135">
        <f t="shared" si="42"/>
        <v>3398.1679806000006</v>
      </c>
      <c r="AS34" s="137">
        <f t="shared" si="42"/>
        <v>3398.1679806000006</v>
      </c>
      <c r="AT34" s="228">
        <f>AVERAGE(AT10:AT33)</f>
        <v>-0.66875355188429397</v>
      </c>
      <c r="AU34" s="228">
        <f>AVERAGE(AU10:AU33)</f>
        <v>-0.75986188591646053</v>
      </c>
      <c r="AV34" s="228" t="s">
        <v>12</v>
      </c>
      <c r="AW34" s="228">
        <f>AVERAGE(AW10:AW33)</f>
        <v>0.8402999999999996</v>
      </c>
      <c r="AX34" s="737">
        <f>AVERAGE(AX10:AX33)</f>
        <v>4.5000000000000012E-2</v>
      </c>
      <c r="AY34" s="571">
        <f>SUM(AY10:AY33)</f>
        <v>3358.2859058000004</v>
      </c>
      <c r="AZ34" s="569">
        <f>SUM(AZ10:AZ33)</f>
        <v>2821.9676466437409</v>
      </c>
      <c r="BA34" s="737">
        <f>AVERAGE(BA10:BA33)</f>
        <v>861.73441666666679</v>
      </c>
      <c r="BB34" s="569">
        <f t="shared" ref="BB34:BI34" si="43">SUM(BB10:BB33)</f>
        <v>2431.7857560475268</v>
      </c>
      <c r="BC34" s="164">
        <f t="shared" si="43"/>
        <v>205128.82823453349</v>
      </c>
      <c r="BD34" s="349">
        <f t="shared" si="43"/>
        <v>1006.2638282345332</v>
      </c>
      <c r="BE34" s="570">
        <f t="shared" si="43"/>
        <v>786.09330261681771</v>
      </c>
      <c r="BF34" s="590">
        <f t="shared" si="43"/>
        <v>1.5120941999999999</v>
      </c>
      <c r="BG34" s="591">
        <f t="shared" si="43"/>
        <v>1.5120941999999999</v>
      </c>
      <c r="BH34" s="591">
        <f>SUM(BH10:BH33)</f>
        <v>0</v>
      </c>
      <c r="BI34" s="147">
        <f t="shared" si="43"/>
        <v>3217.879058664344</v>
      </c>
      <c r="BJ34" s="175">
        <f>BI34+BH34</f>
        <v>3217.879058664344</v>
      </c>
      <c r="BK34" s="106"/>
      <c r="BL34" s="106"/>
      <c r="BM34" s="106"/>
      <c r="BN34" s="106"/>
      <c r="BO34" s="106"/>
      <c r="BP34" s="106"/>
      <c r="BQ34" s="106"/>
      <c r="BR34" s="106"/>
      <c r="BS34" s="106"/>
      <c r="BT34" s="845"/>
      <c r="BU34" s="846"/>
      <c r="BV34" s="846"/>
      <c r="BW34" s="846"/>
      <c r="BX34" s="846"/>
      <c r="BY34" s="846"/>
      <c r="BZ34" s="846"/>
      <c r="CA34" s="846"/>
      <c r="CB34" s="846"/>
      <c r="CC34" s="846"/>
      <c r="CD34" s="846"/>
      <c r="CE34" s="847"/>
      <c r="CF34" s="163"/>
      <c r="CG34" s="106"/>
      <c r="CS34" s="106"/>
    </row>
    <row r="35" spans="1:97" s="107" customFormat="1" x14ac:dyDescent="0.25">
      <c r="A35" s="816" t="s">
        <v>440</v>
      </c>
      <c r="B35" s="817"/>
      <c r="C35" s="886"/>
      <c r="D35" s="206">
        <f t="shared" ref="D35" si="44">MIN(D10:D33)</f>
        <v>452.76529096800039</v>
      </c>
      <c r="E35" s="318">
        <f>MIN(E10:E33)</f>
        <v>5.0040551236078382E-2</v>
      </c>
      <c r="F35" s="318">
        <f>MIN(F10:F33)</f>
        <v>5.0040551236078382E-2</v>
      </c>
      <c r="G35" s="683">
        <f>MIN(G10:G33)</f>
        <v>6.5746028288458067</v>
      </c>
      <c r="H35" s="318">
        <f>MIN(H10:H33)</f>
        <v>141.08600000000001</v>
      </c>
      <c r="I35" s="318">
        <f t="shared" ref="I35:L35" si="45">MIN(I10:I33)</f>
        <v>0</v>
      </c>
      <c r="J35" s="318">
        <f>MIN(J10:J33)</f>
        <v>0.129</v>
      </c>
      <c r="K35" s="318">
        <f>MIN(K10:K33)</f>
        <v>141.08600000000001</v>
      </c>
      <c r="L35" s="685">
        <f t="shared" si="45"/>
        <v>141.215</v>
      </c>
      <c r="M35" s="864"/>
      <c r="N35" s="864"/>
      <c r="O35" s="864"/>
      <c r="P35" s="865"/>
      <c r="Q35" s="676">
        <f>MIN(Q10:Q33)</f>
        <v>142.43096389497327</v>
      </c>
      <c r="R35" s="195">
        <f t="shared" ref="R35:T35" si="46">MIN(R10:R33)</f>
        <v>0</v>
      </c>
      <c r="S35" s="199">
        <f t="shared" si="46"/>
        <v>0.129</v>
      </c>
      <c r="T35" s="206">
        <f t="shared" si="46"/>
        <v>142.43096389497327</v>
      </c>
      <c r="U35" s="679">
        <f>MIN(U10:U33)</f>
        <v>142.55996389497327</v>
      </c>
      <c r="V35" s="206">
        <f>MIN(V10:V33)</f>
        <v>610.46</v>
      </c>
      <c r="W35" s="195">
        <f t="shared" ref="W35:Z35" si="47">MIN(W10:W33)</f>
        <v>75.8</v>
      </c>
      <c r="X35" s="195">
        <f t="shared" si="47"/>
        <v>633.1</v>
      </c>
      <c r="Y35" s="195">
        <f>MIN(Y10:Y33)</f>
        <v>573.83000000000004</v>
      </c>
      <c r="Z35" s="199">
        <f t="shared" si="47"/>
        <v>1142.54</v>
      </c>
      <c r="AA35" s="206">
        <f>MIN(AA10:AA33)</f>
        <v>106.68600000000001</v>
      </c>
      <c r="AB35" s="203">
        <f>MIN(AB10:AB33)</f>
        <v>35.741</v>
      </c>
      <c r="AC35" s="679">
        <f t="shared" ref="AC35" si="48">MIN(AC10:AC33)</f>
        <v>0.129</v>
      </c>
      <c r="AD35" s="206">
        <f>MIN(AD10:AD33)</f>
        <v>142.42700000000002</v>
      </c>
      <c r="AE35" s="679">
        <f>MIN(AE10:AE33)</f>
        <v>142.55600000000001</v>
      </c>
      <c r="AF35" s="206">
        <f>MIN(AF10:AF33)</f>
        <v>124.119</v>
      </c>
      <c r="AG35" s="195">
        <f>MIN(AG10:AG33)</f>
        <v>41.036999999999999</v>
      </c>
      <c r="AH35" s="195">
        <f>MIN(AH10:AH33)</f>
        <v>0.10299999999999999</v>
      </c>
      <c r="AI35" s="182"/>
      <c r="AJ35" s="189"/>
      <c r="AK35" s="189"/>
      <c r="AL35" s="189"/>
      <c r="AM35" s="189"/>
      <c r="AN35" s="189"/>
      <c r="AO35" s="189"/>
      <c r="AP35" s="189"/>
      <c r="AQ35" s="189"/>
      <c r="AR35" s="163"/>
      <c r="AS35" s="163"/>
      <c r="AT35" s="163"/>
      <c r="AU35" s="163"/>
      <c r="AV35" s="163"/>
      <c r="AW35" s="163"/>
      <c r="AX35" s="163"/>
      <c r="AY35" s="163"/>
      <c r="AZ35" s="308"/>
      <c r="BA35" s="308"/>
      <c r="BB35" s="308"/>
      <c r="BC35" s="308"/>
      <c r="BD35" s="309"/>
      <c r="BE35" s="309"/>
      <c r="BF35" s="308"/>
      <c r="BG35" s="308"/>
      <c r="BH35" s="163"/>
      <c r="BI35" s="163"/>
      <c r="BJ35" s="163"/>
      <c r="BK35" s="106"/>
      <c r="BL35" s="106"/>
      <c r="BM35" s="106"/>
      <c r="BN35" s="106"/>
      <c r="BO35" s="106"/>
      <c r="BP35" s="106"/>
      <c r="BQ35" s="106"/>
      <c r="BR35" s="106"/>
      <c r="BS35" s="106"/>
      <c r="BT35" s="163"/>
      <c r="BU35" s="163"/>
      <c r="BV35" s="163"/>
      <c r="BW35" s="163"/>
      <c r="BX35" s="163"/>
      <c r="BY35" s="163"/>
      <c r="BZ35" s="163"/>
      <c r="CA35" s="163"/>
      <c r="CB35" s="163"/>
      <c r="CC35" s="163"/>
      <c r="CD35" s="163"/>
      <c r="CE35" s="163"/>
      <c r="CF35" s="163"/>
      <c r="CG35" s="106"/>
      <c r="CS35" s="106"/>
    </row>
    <row r="36" spans="1:97" s="107" customFormat="1" ht="15.75" thickBot="1" x14ac:dyDescent="0.3">
      <c r="A36" s="818" t="s">
        <v>441</v>
      </c>
      <c r="B36" s="819"/>
      <c r="C36" s="887"/>
      <c r="D36" s="207">
        <f t="shared" ref="D36" si="49">MAX(D10:D33)</f>
        <v>454.10895394185161</v>
      </c>
      <c r="E36" s="319">
        <f>MAX(E10:E33)</f>
        <v>5.0040819799070158E-2</v>
      </c>
      <c r="F36" s="319">
        <f t="shared" ref="F36:L36" si="50">MAX(F10:F33)</f>
        <v>5.0040819799070158E-2</v>
      </c>
      <c r="G36" s="684">
        <f>MAX(G10:G33)</f>
        <v>6.5859828957104041</v>
      </c>
      <c r="H36" s="319">
        <f t="shared" si="50"/>
        <v>141.322</v>
      </c>
      <c r="I36" s="319">
        <f t="shared" si="50"/>
        <v>0</v>
      </c>
      <c r="J36" s="319">
        <f>MAX(J10:J33)</f>
        <v>0.129</v>
      </c>
      <c r="K36" s="319">
        <f t="shared" si="50"/>
        <v>141.322</v>
      </c>
      <c r="L36" s="686">
        <f t="shared" si="50"/>
        <v>141.45099999999999</v>
      </c>
      <c r="M36" s="866"/>
      <c r="N36" s="866"/>
      <c r="O36" s="866"/>
      <c r="P36" s="867"/>
      <c r="Q36" s="677">
        <f>MAX(Q10:Q33)</f>
        <v>142.6692136680139</v>
      </c>
      <c r="R36" s="196">
        <f t="shared" ref="R36:U36" si="51">MAX(R10:R33)</f>
        <v>0</v>
      </c>
      <c r="S36" s="200">
        <f t="shared" si="51"/>
        <v>0.129</v>
      </c>
      <c r="T36" s="207">
        <f t="shared" si="51"/>
        <v>142.6692136680139</v>
      </c>
      <c r="U36" s="680">
        <f t="shared" si="51"/>
        <v>142.79821366801389</v>
      </c>
      <c r="V36" s="207">
        <f>MAX(V10:V33)</f>
        <v>611.21</v>
      </c>
      <c r="W36" s="196">
        <f t="shared" ref="W36:Z36" si="52">MAX(W10:W33)</f>
        <v>76.790000000000006</v>
      </c>
      <c r="X36" s="196">
        <f t="shared" si="52"/>
        <v>633.83000000000004</v>
      </c>
      <c r="Y36" s="196">
        <f>MAX(Y10:Y33)</f>
        <v>574.62</v>
      </c>
      <c r="Z36" s="200">
        <f t="shared" si="52"/>
        <v>1142.54</v>
      </c>
      <c r="AA36" s="207">
        <f>MAX(AA10:AA33)</f>
        <v>106.864</v>
      </c>
      <c r="AB36" s="204">
        <f>MAX(AB10:AB33)</f>
        <v>35.801000000000002</v>
      </c>
      <c r="AC36" s="680">
        <f t="shared" ref="AC36" si="53">MAX(AC10:AC33)</f>
        <v>0.129</v>
      </c>
      <c r="AD36" s="207">
        <f>MAX(AD10:AD33)</f>
        <v>142.66500000000002</v>
      </c>
      <c r="AE36" s="680">
        <f>MAX(AE10:AE33)</f>
        <v>142.79400000000001</v>
      </c>
      <c r="AF36" s="207">
        <f>MAX(AF10:AF33)</f>
        <v>124.27</v>
      </c>
      <c r="AG36" s="196">
        <f>MAX(AG10:AG33)</f>
        <v>41.106000000000002</v>
      </c>
      <c r="AH36" s="200">
        <f>MAX(AH10:AH33)</f>
        <v>0.104</v>
      </c>
      <c r="AI36" s="182"/>
      <c r="AJ36" s="189"/>
      <c r="AK36" s="189"/>
      <c r="AL36" s="189"/>
      <c r="AM36" s="189"/>
      <c r="AN36" s="189"/>
      <c r="AO36" s="189"/>
      <c r="AP36" s="189"/>
      <c r="AQ36" s="189"/>
      <c r="AR36" s="163"/>
      <c r="AS36" s="163"/>
      <c r="AT36" s="163"/>
      <c r="AU36" s="163"/>
      <c r="AV36" s="163"/>
      <c r="AW36" s="163"/>
      <c r="AX36" s="163"/>
      <c r="AY36" s="163"/>
      <c r="AZ36" s="308"/>
      <c r="BA36" s="308"/>
      <c r="BB36" s="308"/>
      <c r="BC36" s="308"/>
      <c r="BD36" s="309"/>
      <c r="BE36" s="309"/>
      <c r="BF36" s="308"/>
      <c r="BG36" s="308"/>
      <c r="BH36" s="163"/>
      <c r="BI36" s="163"/>
      <c r="BJ36" s="163"/>
      <c r="BK36" s="106"/>
      <c r="BL36" s="106"/>
      <c r="BM36" s="106"/>
      <c r="BN36" s="106"/>
      <c r="BO36" s="106"/>
      <c r="BP36" s="106"/>
      <c r="BQ36" s="106"/>
      <c r="BR36" s="106"/>
      <c r="BS36" s="106"/>
      <c r="BT36" s="163"/>
      <c r="BU36" s="163"/>
      <c r="BV36" s="163"/>
      <c r="BW36" s="163"/>
      <c r="BX36" s="163"/>
      <c r="BY36" s="163"/>
      <c r="BZ36" s="163"/>
      <c r="CA36" s="163"/>
      <c r="CB36" s="163"/>
      <c r="CC36" s="163"/>
      <c r="CD36" s="163"/>
      <c r="CE36" s="163"/>
      <c r="CF36" s="163"/>
      <c r="CG36" s="106"/>
      <c r="CS36" s="106"/>
    </row>
    <row r="37" spans="1:97" s="107" customFormat="1" ht="15.75" thickBot="1" x14ac:dyDescent="0.3">
      <c r="A37" s="188"/>
      <c r="B37" s="188"/>
      <c r="C37" s="188"/>
      <c r="D37" s="188"/>
      <c r="E37" s="188"/>
      <c r="F37" s="188"/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  <c r="AR37" s="163"/>
      <c r="AS37" s="163"/>
      <c r="AT37" s="163"/>
      <c r="AU37" s="163"/>
      <c r="AV37" s="163"/>
      <c r="AW37" s="163"/>
      <c r="AX37" s="163"/>
      <c r="AY37" s="163"/>
      <c r="AZ37" s="153">
        <f>AY34*AW34</f>
        <v>2821.967646643739</v>
      </c>
      <c r="BA37" s="308"/>
      <c r="BB37" s="308"/>
      <c r="BC37" s="308"/>
      <c r="BD37" s="309"/>
      <c r="BE37" s="218" t="s">
        <v>735</v>
      </c>
      <c r="BF37" s="218" t="s">
        <v>739</v>
      </c>
      <c r="BG37" s="218" t="s">
        <v>737</v>
      </c>
      <c r="BH37" s="163"/>
      <c r="BI37" s="163"/>
      <c r="BJ37" s="163"/>
      <c r="BK37" s="106"/>
      <c r="BL37" s="106"/>
      <c r="BM37" s="106"/>
      <c r="BN37" s="106"/>
      <c r="BO37" s="106"/>
      <c r="BP37" s="106"/>
      <c r="BQ37" s="106"/>
      <c r="BR37" s="106"/>
      <c r="BS37" s="106"/>
      <c r="BT37" s="163"/>
      <c r="BU37" s="163"/>
      <c r="BV37" s="163"/>
      <c r="BW37" s="163"/>
      <c r="BX37" s="163"/>
      <c r="BY37" s="163"/>
      <c r="BZ37" s="163"/>
      <c r="CA37" s="163"/>
      <c r="CB37" s="163"/>
      <c r="CC37" s="163"/>
      <c r="CD37" s="163"/>
      <c r="CE37" s="163"/>
      <c r="CF37" s="163"/>
      <c r="CG37" s="106"/>
      <c r="CS37" s="106"/>
    </row>
    <row r="38" spans="1:97" s="107" customFormat="1" ht="15" hidden="1" customHeight="1" x14ac:dyDescent="0.25">
      <c r="A38" s="188"/>
      <c r="B38" s="188"/>
      <c r="C38" s="188"/>
      <c r="D38" s="188"/>
      <c r="E38" s="188"/>
      <c r="F38" s="188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63"/>
      <c r="AS38" s="163"/>
      <c r="AT38" s="163"/>
      <c r="AU38" s="163"/>
      <c r="AV38" s="163"/>
      <c r="AW38" s="163"/>
      <c r="AX38" s="163"/>
      <c r="AY38" s="163"/>
      <c r="AZ38" s="308"/>
      <c r="BA38" s="308"/>
      <c r="BB38" s="308"/>
      <c r="BC38" s="308"/>
      <c r="BD38" s="309"/>
      <c r="BE38" s="309"/>
      <c r="BF38" s="308"/>
      <c r="BG38" s="308"/>
      <c r="BH38" s="163"/>
      <c r="BI38" s="163"/>
      <c r="BJ38" s="163"/>
      <c r="BK38" s="106"/>
      <c r="BL38" s="106"/>
      <c r="BM38" s="106"/>
      <c r="BN38" s="106"/>
      <c r="BO38" s="106"/>
      <c r="BP38" s="106"/>
      <c r="BQ38" s="106"/>
      <c r="BR38" s="106"/>
      <c r="BS38" s="106"/>
      <c r="BT38" s="163"/>
      <c r="BU38" s="163"/>
      <c r="BV38" s="163"/>
      <c r="BW38" s="163"/>
      <c r="BX38" s="163"/>
      <c r="BY38" s="163"/>
      <c r="BZ38" s="163"/>
      <c r="CA38" s="163"/>
      <c r="CB38" s="163"/>
      <c r="CC38" s="163"/>
      <c r="CD38" s="163"/>
      <c r="CE38" s="163"/>
      <c r="CF38" s="163"/>
      <c r="CG38" s="106"/>
      <c r="CS38" s="106"/>
    </row>
    <row r="39" spans="1:97" ht="19.5" customHeight="1" thickBot="1" x14ac:dyDescent="0.3">
      <c r="A39" s="842" t="s">
        <v>444</v>
      </c>
      <c r="B39" s="842"/>
      <c r="C39" s="842"/>
      <c r="D39" s="842"/>
      <c r="E39" s="842"/>
      <c r="F39" s="842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J39" s="353"/>
      <c r="AK39" s="353"/>
      <c r="AL39"/>
      <c r="AM39" s="353"/>
      <c r="AN39" s="353"/>
      <c r="AO39" s="353"/>
      <c r="AP39" s="353"/>
      <c r="AQ39" s="353"/>
      <c r="BE39" s="713" t="s">
        <v>738</v>
      </c>
      <c r="BF39" s="713" t="s">
        <v>736</v>
      </c>
      <c r="BG39" s="713" t="s">
        <v>741</v>
      </c>
      <c r="BT39" s="796" t="s">
        <v>446</v>
      </c>
      <c r="BU39" s="797"/>
      <c r="BV39" s="797"/>
      <c r="BW39" s="797"/>
      <c r="BX39" s="797"/>
      <c r="BY39" s="798"/>
      <c r="CF39" s="34"/>
    </row>
    <row r="40" spans="1:97" ht="35.25" customHeight="1" x14ac:dyDescent="0.25">
      <c r="A40" s="219" t="s">
        <v>447</v>
      </c>
      <c r="B40" s="219"/>
      <c r="C40" s="346">
        <f>SUM(C10:C33)</f>
        <v>23.999618055357132</v>
      </c>
      <c r="D40" s="253"/>
      <c r="E40" s="253"/>
      <c r="F40" s="253"/>
      <c r="G40" s="184"/>
      <c r="I40" s="184"/>
      <c r="J40" s="184"/>
      <c r="K40" s="184"/>
      <c r="L40" s="184"/>
      <c r="M40" s="184"/>
      <c r="N40" s="184"/>
      <c r="O40" s="184"/>
      <c r="P40" s="185"/>
      <c r="AJ40" s="186"/>
      <c r="AK40" s="186"/>
      <c r="AL40" s="354"/>
      <c r="AM40" s="354"/>
      <c r="AN40" s="354"/>
      <c r="AO40" s="354"/>
      <c r="AP40" s="354"/>
      <c r="AQ40" s="354"/>
      <c r="AR40" s="355"/>
      <c r="AS40" s="355"/>
      <c r="AT40" s="355"/>
      <c r="AU40" s="355"/>
      <c r="AV40" s="355"/>
      <c r="AW40" s="355"/>
      <c r="AX40" s="355"/>
      <c r="AY40" s="355"/>
      <c r="AZ40" s="355"/>
      <c r="BA40" s="355"/>
      <c r="BB40" s="355"/>
      <c r="BC40" s="355"/>
      <c r="BD40" s="355"/>
      <c r="BE40" s="585" t="s">
        <v>400</v>
      </c>
      <c r="BF40" s="585" t="s">
        <v>405</v>
      </c>
      <c r="BG40" s="586" t="s">
        <v>602</v>
      </c>
      <c r="BH40" s="355"/>
      <c r="BI40" s="355"/>
      <c r="BJ40" s="355"/>
      <c r="BK40" s="355"/>
      <c r="BL40" s="355"/>
      <c r="BM40" s="355"/>
      <c r="BN40" s="355"/>
      <c r="BO40" s="355"/>
      <c r="BP40" s="355"/>
      <c r="BQ40" s="355"/>
      <c r="BR40" s="355"/>
      <c r="BS40" s="355"/>
      <c r="BT40" s="86" t="s">
        <v>417</v>
      </c>
      <c r="BU40" s="87" t="s">
        <v>418</v>
      </c>
      <c r="BV40" s="87" t="s">
        <v>419</v>
      </c>
      <c r="BW40" s="87" t="s">
        <v>420</v>
      </c>
      <c r="BX40" s="87" t="s">
        <v>421</v>
      </c>
      <c r="BY40" s="88" t="s">
        <v>422</v>
      </c>
      <c r="BZ40" s="161" t="s">
        <v>449</v>
      </c>
      <c r="CA40" s="159" t="s">
        <v>423</v>
      </c>
      <c r="CB40" s="159" t="s">
        <v>450</v>
      </c>
      <c r="CC40" s="168" t="s">
        <v>425</v>
      </c>
      <c r="CD40" s="159" t="s">
        <v>451</v>
      </c>
      <c r="CF40" s="355"/>
      <c r="CG40" s="355"/>
      <c r="CH40" s="355"/>
      <c r="CI40" s="355"/>
      <c r="CJ40" s="355"/>
      <c r="CK40" s="355"/>
      <c r="CL40" s="355"/>
      <c r="CM40" s="355"/>
      <c r="CN40" s="355"/>
      <c r="CO40" s="355"/>
      <c r="CP40" s="355"/>
      <c r="CQ40" s="355"/>
      <c r="CR40" s="355"/>
    </row>
    <row r="41" spans="1:97" ht="27.75" customHeight="1" x14ac:dyDescent="0.25">
      <c r="A41" s="219" t="s">
        <v>452</v>
      </c>
      <c r="B41" s="219"/>
      <c r="C41" s="221">
        <f>H34</f>
        <v>3388.5760000000005</v>
      </c>
      <c r="D41" s="253"/>
      <c r="E41" s="253"/>
      <c r="F41" s="253"/>
      <c r="G41" s="184"/>
      <c r="I41" s="184"/>
      <c r="J41" s="184"/>
      <c r="K41" s="184"/>
      <c r="L41" s="184"/>
      <c r="M41" s="185"/>
      <c r="N41" s="184"/>
      <c r="O41" s="184"/>
      <c r="P41" s="185"/>
      <c r="AJ41" s="186"/>
      <c r="AK41" s="186"/>
      <c r="AL41" s="354"/>
      <c r="AM41" s="354"/>
      <c r="AN41" s="354"/>
      <c r="AO41" s="354"/>
      <c r="AP41" s="354"/>
      <c r="AQ41" s="354"/>
      <c r="AR41" s="355"/>
      <c r="AS41" s="355"/>
      <c r="AT41" s="355"/>
      <c r="AU41" s="355"/>
      <c r="AV41" s="355"/>
      <c r="AW41" s="355"/>
      <c r="AX41" s="355"/>
      <c r="AY41" s="355"/>
      <c r="AZ41" s="355"/>
      <c r="BA41" s="355"/>
      <c r="BB41" s="355"/>
      <c r="BC41" s="355"/>
      <c r="BD41" s="355"/>
      <c r="BE41" s="355"/>
      <c r="BF41" s="355"/>
      <c r="BG41" s="355"/>
      <c r="BH41" s="355"/>
      <c r="BI41" s="355"/>
      <c r="BJ41" s="355"/>
      <c r="BK41" s="355"/>
      <c r="BL41" s="355"/>
      <c r="BM41" s="355"/>
      <c r="BN41" s="355"/>
      <c r="BO41" s="355"/>
      <c r="BP41" s="355"/>
      <c r="BQ41" s="355"/>
      <c r="BR41" s="355"/>
      <c r="BS41" s="355"/>
      <c r="BT41" s="91">
        <f>((AZ10-AF10)/AZ10)*100</f>
        <v>-5.4541333694481082</v>
      </c>
      <c r="BU41" s="92">
        <f>AZ10-AF10</f>
        <v>-6.4272981263499958</v>
      </c>
      <c r="BV41" s="91">
        <f>((BD10-AG10)/BD10)*100</f>
        <v>2.1534663804655225</v>
      </c>
      <c r="BW41" s="92">
        <f>BD10-AG10</f>
        <v>0.90468599919561399</v>
      </c>
      <c r="BX41" s="91">
        <f>((BG10-AH10)/BG10)*100</f>
        <v>-48.244232372834247</v>
      </c>
      <c r="BY41" s="92">
        <f>BG10-AH10</f>
        <v>-3.3845500000000001E-2</v>
      </c>
      <c r="BZ41" s="759" t="str">
        <f>IF(BT41="","",IF(ABS(BT41)&gt;10,"FORA","OK"))</f>
        <v>OK</v>
      </c>
      <c r="CA41" s="759" t="str">
        <f t="shared" ref="CA41:CC41" si="54">IF(BU41="","",IF(ABS(BU41)&gt;10,"FORA","OK"))</f>
        <v>OK</v>
      </c>
      <c r="CB41" s="759" t="str">
        <f>IF(BV41="","",IF(ABS(BV41)&gt;10,"FORA","OK"))</f>
        <v>OK</v>
      </c>
      <c r="CC41" s="759" t="str">
        <f t="shared" si="54"/>
        <v>OK</v>
      </c>
      <c r="CD41" s="759" t="str">
        <f>IF(BX41="","",IF(ABS(BX41)&gt;10,"FORA","OK"))</f>
        <v>FORA</v>
      </c>
      <c r="CF41" s="355"/>
      <c r="CG41" s="355"/>
      <c r="CH41" s="355"/>
      <c r="CI41" s="355"/>
      <c r="CJ41" s="355"/>
      <c r="CK41" s="355"/>
      <c r="CL41" s="355"/>
      <c r="CM41" s="356"/>
      <c r="CN41" s="356"/>
      <c r="CO41" s="356"/>
      <c r="CP41" s="356"/>
      <c r="CQ41" s="356"/>
      <c r="CR41" s="356"/>
    </row>
    <row r="42" spans="1:97" ht="36" customHeight="1" x14ac:dyDescent="0.25">
      <c r="A42" s="219" t="s">
        <v>454</v>
      </c>
      <c r="B42" s="219"/>
      <c r="C42" s="221">
        <f>I34</f>
        <v>0</v>
      </c>
      <c r="D42" s="253"/>
      <c r="E42" s="253"/>
      <c r="F42" s="253"/>
      <c r="G42"/>
      <c r="H42" s="108"/>
      <c r="I42" s="184"/>
      <c r="K42" s="184"/>
      <c r="L42" s="184"/>
      <c r="M42" s="185"/>
      <c r="N42" s="184"/>
      <c r="O42" s="184"/>
      <c r="P42" s="185"/>
      <c r="Q42" s="186"/>
      <c r="R42" s="187"/>
      <c r="S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J42" s="186"/>
      <c r="AK42" s="186"/>
      <c r="AL42" s="354"/>
      <c r="AM42" s="354"/>
      <c r="AN42" s="354"/>
      <c r="AO42" s="354"/>
      <c r="AP42" s="354"/>
      <c r="AQ42" s="354"/>
      <c r="AR42" s="355"/>
      <c r="AS42" s="355"/>
      <c r="AT42" s="355"/>
      <c r="AU42" s="355"/>
      <c r="AV42" s="355"/>
      <c r="AW42" s="355"/>
      <c r="AX42" s="355"/>
      <c r="AY42" s="355"/>
      <c r="AZ42" s="355"/>
      <c r="BA42" s="355"/>
      <c r="BB42" s="355"/>
      <c r="BC42" s="355"/>
      <c r="BD42" s="355"/>
      <c r="BE42" s="355"/>
      <c r="BF42" s="355"/>
      <c r="BG42" s="355"/>
      <c r="BH42" s="355"/>
      <c r="BI42" s="355"/>
      <c r="BJ42" s="355"/>
      <c r="BK42" s="355"/>
      <c r="BL42" s="355"/>
      <c r="BM42" s="355"/>
      <c r="BN42" s="355"/>
      <c r="BO42" s="355"/>
      <c r="BP42" s="355"/>
      <c r="BQ42" s="355"/>
      <c r="BR42" s="355"/>
      <c r="BS42" s="355"/>
      <c r="BT42" s="91">
        <f t="shared" ref="BT42:BT64" si="55">((AZ11-AF11)/AZ11)*100</f>
        <v>-5.4310465220347783</v>
      </c>
      <c r="BU42" s="92">
        <f t="shared" ref="BU42:BU64" si="56">AZ11-AF11</f>
        <v>-6.3988147621499678</v>
      </c>
      <c r="BV42" s="91">
        <f t="shared" ref="BV42:BV64" si="57">((BD11-AG11)/BD11)*100</f>
        <v>2.6287871279306856</v>
      </c>
      <c r="BW42" s="92">
        <f t="shared" ref="BW42:BW64" si="58">BD11-AG11</f>
        <v>1.1092765749393152</v>
      </c>
      <c r="BX42" s="91">
        <f t="shared" ref="BX42:BX58" si="59">((BG11-AH11)/BG11)*100</f>
        <v>-48.273821829043115</v>
      </c>
      <c r="BY42" s="92">
        <f t="shared" ref="BY42:BY64" si="60">BG11-AH11</f>
        <v>-3.3859499999999987E-2</v>
      </c>
      <c r="BZ42" s="759" t="str">
        <f t="shared" ref="BZ42:BZ64" si="61">IF(BT42="","",IF(ABS(BT42)&gt;10,"FORA","OK"))</f>
        <v>OK</v>
      </c>
      <c r="CA42" s="435">
        <f t="shared" ref="CA42:CA64" si="62">AR42-T42</f>
        <v>0</v>
      </c>
      <c r="CB42" s="759" t="str">
        <f t="shared" ref="CB42:CB64" si="63">IF(BV42="","",IF(ABS(BV42)&gt;10,"FORA","OK"))</f>
        <v>OK</v>
      </c>
      <c r="CC42" s="93">
        <f t="shared" ref="CC42:CC64" si="64">AS42-U42</f>
        <v>0</v>
      </c>
      <c r="CD42" s="759" t="str">
        <f t="shared" ref="CD42:CD64" si="65">IF(BX42="","",IF(ABS(BX42)&gt;10,"FORA","OK"))</f>
        <v>FORA</v>
      </c>
      <c r="CF42" s="355"/>
      <c r="CG42" s="355"/>
      <c r="CH42" s="355"/>
      <c r="CI42" s="355"/>
      <c r="CJ42" s="355"/>
      <c r="CK42" s="355"/>
      <c r="CL42" s="355"/>
      <c r="CM42" s="356"/>
      <c r="CN42" s="356"/>
      <c r="CO42" s="358"/>
      <c r="CP42" s="358"/>
      <c r="CQ42" s="358"/>
      <c r="CR42" s="358"/>
    </row>
    <row r="43" spans="1:97" ht="36" customHeight="1" x14ac:dyDescent="0.25">
      <c r="A43" s="220" t="s">
        <v>456</v>
      </c>
      <c r="B43" s="220"/>
      <c r="C43" s="221">
        <f>J34</f>
        <v>3.0960000000000001</v>
      </c>
      <c r="D43" s="254"/>
      <c r="E43" s="254"/>
      <c r="F43" s="254"/>
      <c r="G43" s="108"/>
      <c r="H43" s="108"/>
      <c r="I43" s="184"/>
      <c r="J43" s="108"/>
      <c r="K43" s="108"/>
      <c r="L43" s="108"/>
      <c r="M43" s="108"/>
      <c r="N43" s="108"/>
      <c r="O43" s="108"/>
      <c r="Q43" s="109"/>
      <c r="R43" s="110"/>
      <c r="S43"/>
      <c r="V43"/>
      <c r="W43"/>
      <c r="X43"/>
      <c r="Y43"/>
      <c r="Z43"/>
      <c r="AA43"/>
      <c r="AB43"/>
      <c r="AJ43" s="186"/>
      <c r="AK43" s="186"/>
      <c r="AL43" s="354"/>
      <c r="AM43" s="354"/>
      <c r="AN43" s="354"/>
      <c r="AO43" s="354"/>
      <c r="AP43" s="354"/>
      <c r="AQ43" s="354"/>
      <c r="AR43" s="355"/>
      <c r="AS43" s="355"/>
      <c r="AT43" s="355"/>
      <c r="AU43" s="355"/>
      <c r="AX43" s="355"/>
      <c r="AY43" s="355"/>
      <c r="AZ43" s="355"/>
      <c r="BA43" s="355"/>
      <c r="BB43" s="355"/>
      <c r="BC43" s="355"/>
      <c r="BD43" s="355"/>
      <c r="BE43" s="355"/>
      <c r="BF43" s="355"/>
      <c r="BG43" s="355"/>
      <c r="BH43" s="355"/>
      <c r="BI43" s="355"/>
      <c r="BJ43" s="355"/>
      <c r="BK43" s="355"/>
      <c r="BL43" s="355"/>
      <c r="BM43" s="355"/>
      <c r="BN43" s="355"/>
      <c r="BO43" s="355"/>
      <c r="BP43" s="355"/>
      <c r="BQ43" s="355"/>
      <c r="BR43" s="355"/>
      <c r="BS43" s="355"/>
      <c r="BT43" s="91">
        <f t="shared" si="55"/>
        <v>-5.4208614235928101</v>
      </c>
      <c r="BU43" s="92">
        <f t="shared" si="56"/>
        <v>-6.3868147621499674</v>
      </c>
      <c r="BV43" s="91">
        <f t="shared" si="57"/>
        <v>2.6223434459613131</v>
      </c>
      <c r="BW43" s="92">
        <f t="shared" si="58"/>
        <v>1.1063765749393184</v>
      </c>
      <c r="BX43" s="91">
        <f t="shared" si="59"/>
        <v>-48.273821829043115</v>
      </c>
      <c r="BY43" s="92">
        <f t="shared" si="60"/>
        <v>-3.3859499999999987E-2</v>
      </c>
      <c r="BZ43" s="759" t="str">
        <f t="shared" si="61"/>
        <v>OK</v>
      </c>
      <c r="CA43" s="435">
        <f t="shared" si="62"/>
        <v>0</v>
      </c>
      <c r="CB43" s="759" t="str">
        <f t="shared" si="63"/>
        <v>OK</v>
      </c>
      <c r="CC43" s="93">
        <f t="shared" si="64"/>
        <v>0</v>
      </c>
      <c r="CD43" s="759" t="str">
        <f t="shared" si="65"/>
        <v>FORA</v>
      </c>
      <c r="CF43" s="355"/>
      <c r="CG43" s="355"/>
      <c r="CH43" s="355"/>
      <c r="CI43" s="355"/>
      <c r="CJ43" s="355"/>
      <c r="CK43" s="355"/>
      <c r="CL43" s="355"/>
      <c r="CM43" s="355"/>
      <c r="CN43" s="355"/>
      <c r="CO43" s="355"/>
      <c r="CP43" s="355"/>
      <c r="CQ43" s="355"/>
      <c r="CR43" s="355"/>
    </row>
    <row r="44" spans="1:97" ht="36" customHeight="1" x14ac:dyDescent="0.25">
      <c r="A44" s="220" t="s">
        <v>458</v>
      </c>
      <c r="B44" s="220"/>
      <c r="C44" s="221">
        <f>K34</f>
        <v>3388.5760000000005</v>
      </c>
      <c r="D44" s="254"/>
      <c r="E44" s="254"/>
      <c r="F44" s="254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R44" s="34"/>
      <c r="AJ44" s="186"/>
      <c r="AK44" s="186"/>
      <c r="AL44" s="354"/>
      <c r="AM44" s="354"/>
      <c r="AN44" s="354"/>
      <c r="AO44" s="354"/>
      <c r="AP44" s="354"/>
      <c r="AQ44" s="354"/>
      <c r="AR44" s="355"/>
      <c r="AS44" s="355"/>
      <c r="AT44" s="355"/>
      <c r="AU44" s="355"/>
      <c r="AX44" s="355"/>
      <c r="AY44" s="355"/>
      <c r="AZ44" s="355"/>
      <c r="BA44" s="355"/>
      <c r="BB44" s="355"/>
      <c r="BC44" s="355"/>
      <c r="BD44" s="355"/>
      <c r="BE44" s="355"/>
      <c r="BF44" s="355"/>
      <c r="BG44" s="360"/>
      <c r="BH44" s="361"/>
      <c r="BI44" s="361"/>
      <c r="BJ44" s="361"/>
      <c r="BK44" s="355"/>
      <c r="BL44" s="355"/>
      <c r="BM44" s="361"/>
      <c r="BN44" s="361"/>
      <c r="BO44" s="361"/>
      <c r="BP44" s="361"/>
      <c r="BQ44" s="361"/>
      <c r="BR44" s="361"/>
      <c r="BS44" s="361"/>
      <c r="BT44" s="91">
        <f t="shared" si="55"/>
        <v>-5.6339835137691416</v>
      </c>
      <c r="BU44" s="92">
        <f t="shared" si="56"/>
        <v>-6.6220143917500138</v>
      </c>
      <c r="BV44" s="91">
        <f t="shared" si="57"/>
        <v>2.7353270242028866</v>
      </c>
      <c r="BW44" s="92">
        <f t="shared" si="58"/>
        <v>1.154963483863682</v>
      </c>
      <c r="BX44" s="91">
        <f t="shared" si="59"/>
        <v>-47.200685983779351</v>
      </c>
      <c r="BY44" s="92">
        <f t="shared" si="60"/>
        <v>-3.3027500000000001E-2</v>
      </c>
      <c r="BZ44" s="759" t="str">
        <f t="shared" si="61"/>
        <v>OK</v>
      </c>
      <c r="CA44" s="435">
        <f t="shared" si="62"/>
        <v>0</v>
      </c>
      <c r="CB44" s="759" t="str">
        <f t="shared" si="63"/>
        <v>OK</v>
      </c>
      <c r="CC44" s="93">
        <f t="shared" si="64"/>
        <v>0</v>
      </c>
      <c r="CD44" s="759" t="str">
        <f t="shared" si="65"/>
        <v>FORA</v>
      </c>
      <c r="CF44" s="355"/>
      <c r="CG44" s="355"/>
      <c r="CH44" s="355"/>
      <c r="CI44" s="355"/>
      <c r="CJ44" s="355"/>
      <c r="CK44" s="355"/>
      <c r="CL44" s="355"/>
      <c r="CM44" s="355"/>
      <c r="CN44" s="355"/>
      <c r="CO44" s="355"/>
      <c r="CP44" s="355"/>
      <c r="CQ44" s="355"/>
      <c r="CR44" s="355"/>
    </row>
    <row r="45" spans="1:97" ht="36" customHeight="1" x14ac:dyDescent="0.25">
      <c r="A45" s="220" t="s">
        <v>460</v>
      </c>
      <c r="B45" s="220"/>
      <c r="C45" s="221">
        <f>L34</f>
        <v>3391.6660000000002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AJ45" s="186"/>
      <c r="AK45" s="186"/>
      <c r="AL45" s="354"/>
      <c r="AM45" s="354"/>
      <c r="AN45" s="354"/>
      <c r="AO45" s="354"/>
      <c r="AP45" s="354"/>
      <c r="AQ45" s="354"/>
      <c r="AR45" s="355"/>
      <c r="AS45" s="355"/>
      <c r="AT45" s="355"/>
      <c r="AU45" s="355"/>
      <c r="AX45" s="355"/>
      <c r="AY45" s="355"/>
      <c r="AZ45" s="355"/>
      <c r="BA45" s="355"/>
      <c r="BB45" s="355"/>
      <c r="BC45" s="355"/>
      <c r="BD45" s="355"/>
      <c r="BE45" s="355"/>
      <c r="BF45" s="355"/>
      <c r="BG45" s="360"/>
      <c r="BH45" s="361"/>
      <c r="BI45" s="361"/>
      <c r="BJ45" s="361"/>
      <c r="BK45" s="355"/>
      <c r="BL45" s="355"/>
      <c r="BM45" s="355"/>
      <c r="BN45" s="355"/>
      <c r="BO45" s="355"/>
      <c r="BP45" s="355"/>
      <c r="BQ45" s="355"/>
      <c r="BR45" s="355"/>
      <c r="BS45" s="355"/>
      <c r="BT45" s="91">
        <f t="shared" si="55"/>
        <v>-5.3748037626873604</v>
      </c>
      <c r="BU45" s="92">
        <f t="shared" si="56"/>
        <v>-6.3320534404999762</v>
      </c>
      <c r="BV45" s="91">
        <f t="shared" si="57"/>
        <v>2.7051605146705491</v>
      </c>
      <c r="BW45" s="92">
        <f t="shared" si="58"/>
        <v>1.1417050154100536</v>
      </c>
      <c r="BX45" s="91">
        <f t="shared" si="59"/>
        <v>-46.859627860554632</v>
      </c>
      <c r="BY45" s="92">
        <f t="shared" si="60"/>
        <v>-3.2864999999999991E-2</v>
      </c>
      <c r="BZ45" s="759" t="str">
        <f t="shared" si="61"/>
        <v>OK</v>
      </c>
      <c r="CA45" s="435">
        <f t="shared" si="62"/>
        <v>0</v>
      </c>
      <c r="CB45" s="759" t="str">
        <f t="shared" si="63"/>
        <v>OK</v>
      </c>
      <c r="CC45" s="93">
        <f t="shared" si="64"/>
        <v>0</v>
      </c>
      <c r="CD45" s="759" t="str">
        <f t="shared" si="65"/>
        <v>FORA</v>
      </c>
      <c r="CF45" s="355"/>
      <c r="CG45" s="355"/>
      <c r="CH45" s="355"/>
      <c r="CI45" s="355"/>
      <c r="CJ45" s="355"/>
      <c r="CK45" s="355"/>
      <c r="CL45" s="355"/>
      <c r="CM45" s="355"/>
      <c r="CN45" s="355"/>
      <c r="CO45" s="355"/>
      <c r="CP45" s="355"/>
      <c r="CQ45" s="355"/>
      <c r="CR45" s="355"/>
    </row>
    <row r="46" spans="1:97" ht="36" customHeight="1" x14ac:dyDescent="0.25">
      <c r="A46" s="222" t="s">
        <v>461</v>
      </c>
      <c r="B46" s="220"/>
      <c r="C46" s="347">
        <f>AN34</f>
        <v>2736.2763806000007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R46" s="34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J46" s="186"/>
      <c r="AK46" s="186"/>
      <c r="AL46" s="354"/>
      <c r="AM46" s="354"/>
      <c r="AN46" s="354"/>
      <c r="AO46" s="354"/>
      <c r="AP46" s="354"/>
      <c r="AQ46" s="354"/>
      <c r="AR46" s="355"/>
      <c r="AS46" s="355"/>
      <c r="AT46" s="355"/>
      <c r="AU46" s="355"/>
      <c r="AV46" s="355"/>
      <c r="AW46" s="355"/>
      <c r="AX46" s="355"/>
      <c r="AY46" s="355"/>
      <c r="AZ46" s="355"/>
      <c r="BA46" s="355"/>
      <c r="BB46" s="355"/>
      <c r="BC46" s="355"/>
      <c r="BD46" s="355"/>
      <c r="BE46" s="355"/>
      <c r="BF46" s="355"/>
      <c r="BG46" s="360"/>
      <c r="BH46" s="362"/>
      <c r="BI46" s="362"/>
      <c r="BJ46" s="362"/>
      <c r="BK46" s="355"/>
      <c r="BL46" s="355"/>
      <c r="BM46" s="355"/>
      <c r="BN46" s="355"/>
      <c r="BO46" s="355"/>
      <c r="BP46" s="355"/>
      <c r="BQ46" s="355"/>
      <c r="BR46" s="355"/>
      <c r="BS46" s="355"/>
      <c r="BT46" s="91">
        <f t="shared" si="55"/>
        <v>-5.6199319609840526</v>
      </c>
      <c r="BU46" s="92">
        <f t="shared" si="56"/>
        <v>-6.6065370350499961</v>
      </c>
      <c r="BV46" s="91">
        <f t="shared" si="57"/>
        <v>2.1770352019204462</v>
      </c>
      <c r="BW46" s="92">
        <f t="shared" si="58"/>
        <v>0.91400660292222113</v>
      </c>
      <c r="BX46" s="91">
        <f t="shared" si="59"/>
        <v>-47.177548993691353</v>
      </c>
      <c r="BY46" s="92">
        <f t="shared" si="60"/>
        <v>-3.301649999999999E-2</v>
      </c>
      <c r="BZ46" s="759" t="str">
        <f t="shared" si="61"/>
        <v>OK</v>
      </c>
      <c r="CA46" s="435">
        <f t="shared" si="62"/>
        <v>0</v>
      </c>
      <c r="CB46" s="759" t="str">
        <f t="shared" si="63"/>
        <v>OK</v>
      </c>
      <c r="CC46" s="93">
        <f t="shared" si="64"/>
        <v>0</v>
      </c>
      <c r="CD46" s="759" t="str">
        <f t="shared" si="65"/>
        <v>FORA</v>
      </c>
      <c r="CF46" s="355"/>
      <c r="CG46" s="355"/>
      <c r="CH46" s="355"/>
      <c r="CI46" s="355"/>
      <c r="CJ46" s="355"/>
      <c r="CK46" s="355"/>
      <c r="CL46" s="355"/>
      <c r="CM46" s="355"/>
      <c r="CN46" s="355"/>
      <c r="CO46" s="355"/>
      <c r="CP46" s="355"/>
      <c r="CQ46" s="355"/>
      <c r="CR46" s="355"/>
    </row>
    <row r="47" spans="1:97" ht="36" customHeight="1" x14ac:dyDescent="0.25">
      <c r="A47" s="222" t="s">
        <v>462</v>
      </c>
      <c r="B47" s="220"/>
      <c r="C47" s="347">
        <f>AP34</f>
        <v>661.89159999999981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R47" s="34"/>
      <c r="AJ47" s="186"/>
      <c r="AK47" s="186"/>
      <c r="AL47" s="354"/>
      <c r="AM47" s="354"/>
      <c r="AN47" s="354"/>
      <c r="AO47" s="354"/>
      <c r="AP47" s="354"/>
      <c r="AQ47" s="354"/>
      <c r="AR47" s="355"/>
      <c r="AS47" s="355"/>
      <c r="AT47" s="355"/>
      <c r="AU47" s="355"/>
      <c r="AV47" s="355"/>
      <c r="AW47" s="355"/>
      <c r="AX47" s="355"/>
      <c r="AY47" s="355"/>
      <c r="AZ47" s="355"/>
      <c r="BA47" s="355"/>
      <c r="BB47" s="355"/>
      <c r="BC47" s="355"/>
      <c r="BD47" s="355"/>
      <c r="BE47" s="355"/>
      <c r="BF47" s="355"/>
      <c r="BG47" s="360"/>
      <c r="BH47" s="362"/>
      <c r="BI47" s="362"/>
      <c r="BJ47" s="362"/>
      <c r="BK47" s="355"/>
      <c r="BL47" s="355"/>
      <c r="BM47" s="355"/>
      <c r="BN47" s="355"/>
      <c r="BO47" s="355"/>
      <c r="BP47" s="355"/>
      <c r="BQ47" s="355"/>
      <c r="BR47" s="355"/>
      <c r="BS47" s="355"/>
      <c r="BT47" s="91">
        <f t="shared" si="55"/>
        <v>-5.7164762624145462</v>
      </c>
      <c r="BU47" s="92">
        <f t="shared" si="56"/>
        <v>-6.7116761289499891</v>
      </c>
      <c r="BV47" s="91">
        <f t="shared" si="57"/>
        <v>2.6287203880434884</v>
      </c>
      <c r="BW47" s="92">
        <f t="shared" si="58"/>
        <v>1.1083837521866258</v>
      </c>
      <c r="BX47" s="91">
        <f t="shared" si="59"/>
        <v>-47.360740523488296</v>
      </c>
      <c r="BY47" s="92">
        <f t="shared" si="60"/>
        <v>-3.3103499999999994E-2</v>
      </c>
      <c r="BZ47" s="759" t="str">
        <f t="shared" si="61"/>
        <v>OK</v>
      </c>
      <c r="CA47" s="435">
        <f t="shared" si="62"/>
        <v>0</v>
      </c>
      <c r="CB47" s="759" t="str">
        <f t="shared" si="63"/>
        <v>OK</v>
      </c>
      <c r="CC47" s="93">
        <f t="shared" si="64"/>
        <v>0</v>
      </c>
      <c r="CD47" s="759" t="str">
        <f t="shared" si="65"/>
        <v>FORA</v>
      </c>
      <c r="CF47" s="355"/>
      <c r="CG47" s="355"/>
      <c r="CH47" s="355"/>
      <c r="CI47" s="355"/>
      <c r="CJ47" s="355"/>
      <c r="CK47" s="355"/>
      <c r="CL47" s="355"/>
      <c r="CM47" s="355"/>
      <c r="CN47" s="355"/>
      <c r="CO47" s="355"/>
      <c r="CP47" s="355"/>
      <c r="CQ47" s="355"/>
      <c r="CR47" s="355"/>
    </row>
    <row r="48" spans="1:97" ht="36" customHeight="1" x14ac:dyDescent="0.25">
      <c r="A48" s="222" t="s">
        <v>463</v>
      </c>
      <c r="B48" s="220"/>
      <c r="C48" s="347">
        <f>AQ34</f>
        <v>0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R48" s="34"/>
      <c r="AJ48" s="186"/>
      <c r="AK48" s="186"/>
      <c r="AL48" s="354"/>
      <c r="AM48" s="354"/>
      <c r="AN48" s="354"/>
      <c r="AO48" s="354"/>
      <c r="AP48" s="354"/>
      <c r="AQ48" s="354"/>
      <c r="AR48" s="355"/>
      <c r="AS48" s="355"/>
      <c r="AT48" s="355"/>
      <c r="AU48" s="355"/>
      <c r="AV48" s="355"/>
      <c r="AW48" s="355"/>
      <c r="AX48" s="355"/>
      <c r="AY48" s="355"/>
      <c r="AZ48" s="355"/>
      <c r="BA48" s="355"/>
      <c r="BB48" s="355"/>
      <c r="BC48" s="355"/>
      <c r="BD48" s="355"/>
      <c r="BE48" s="355"/>
      <c r="BF48" s="355"/>
      <c r="BG48" s="355"/>
      <c r="BH48" s="355"/>
      <c r="BI48" s="355"/>
      <c r="BJ48" s="355"/>
      <c r="BK48" s="355"/>
      <c r="BL48" s="355"/>
      <c r="BM48" s="355"/>
      <c r="BN48" s="355"/>
      <c r="BO48" s="355"/>
      <c r="BP48" s="355"/>
      <c r="BQ48" s="355"/>
      <c r="BR48" s="355"/>
      <c r="BS48" s="355"/>
      <c r="BT48" s="91">
        <f t="shared" si="55"/>
        <v>-5.6686632978150371</v>
      </c>
      <c r="BU48" s="92">
        <f t="shared" si="56"/>
        <v>-6.658443458099967</v>
      </c>
      <c r="BV48" s="91">
        <f t="shared" si="57"/>
        <v>2.0891149740773116</v>
      </c>
      <c r="BW48" s="92">
        <f t="shared" si="58"/>
        <v>0.87600785503072132</v>
      </c>
      <c r="BX48" s="91">
        <f t="shared" si="59"/>
        <v>-47.296466314871211</v>
      </c>
      <c r="BY48" s="92">
        <f t="shared" si="60"/>
        <v>-3.3072999999999991E-2</v>
      </c>
      <c r="BZ48" s="759" t="str">
        <f t="shared" si="61"/>
        <v>OK</v>
      </c>
      <c r="CA48" s="435">
        <f t="shared" si="62"/>
        <v>0</v>
      </c>
      <c r="CB48" s="759" t="str">
        <f t="shared" si="63"/>
        <v>OK</v>
      </c>
      <c r="CC48" s="93">
        <f t="shared" si="64"/>
        <v>0</v>
      </c>
      <c r="CD48" s="759" t="str">
        <f t="shared" si="65"/>
        <v>FORA</v>
      </c>
      <c r="CF48" s="355"/>
      <c r="CG48" s="355"/>
      <c r="CH48" s="355"/>
      <c r="CI48" s="355"/>
      <c r="CJ48" s="355"/>
      <c r="CK48" s="355"/>
      <c r="CL48" s="355"/>
      <c r="CM48" s="355"/>
      <c r="CN48" s="355"/>
      <c r="CO48" s="355"/>
      <c r="CP48" s="355"/>
      <c r="CQ48" s="355"/>
      <c r="CR48" s="355"/>
    </row>
    <row r="49" spans="1:96" ht="36" customHeight="1" x14ac:dyDescent="0.25">
      <c r="A49" s="222" t="s">
        <v>464</v>
      </c>
      <c r="B49" s="220"/>
      <c r="C49" s="347">
        <f>AR34</f>
        <v>3398.1679806000006</v>
      </c>
      <c r="D49" s="111">
        <f>C46+C47</f>
        <v>3398.1679806000006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R49" s="34"/>
      <c r="AJ49" s="186"/>
      <c r="AK49" s="186"/>
      <c r="AL49" s="354"/>
      <c r="AM49" s="354"/>
      <c r="AN49" s="354"/>
      <c r="AO49" s="354"/>
      <c r="AP49" s="354"/>
      <c r="AQ49" s="354"/>
      <c r="AR49" s="355"/>
      <c r="AS49" s="355"/>
      <c r="AT49" s="355"/>
      <c r="AU49" s="355"/>
      <c r="AV49" s="355"/>
      <c r="AW49" s="355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55"/>
      <c r="BI49" s="355"/>
      <c r="BJ49" s="355"/>
      <c r="BK49" s="355"/>
      <c r="BL49" s="355"/>
      <c r="BM49" s="355"/>
      <c r="BN49" s="355"/>
      <c r="BO49" s="355"/>
      <c r="BP49" s="355"/>
      <c r="BQ49" s="355"/>
      <c r="BR49" s="355"/>
      <c r="BS49" s="355"/>
      <c r="BT49" s="91">
        <f t="shared" si="55"/>
        <v>-5.9130857970515232</v>
      </c>
      <c r="BU49" s="92">
        <f t="shared" si="56"/>
        <v>-6.9379450751499974</v>
      </c>
      <c r="BV49" s="91">
        <f t="shared" si="57"/>
        <v>1.9195869379711683</v>
      </c>
      <c r="BW49" s="92">
        <f t="shared" si="58"/>
        <v>0.80366707248734315</v>
      </c>
      <c r="BX49" s="91">
        <f t="shared" si="59"/>
        <v>-47.457784840480741</v>
      </c>
      <c r="BY49" s="92">
        <f t="shared" si="60"/>
        <v>-3.3149499999999998E-2</v>
      </c>
      <c r="BZ49" s="759" t="str">
        <f t="shared" si="61"/>
        <v>OK</v>
      </c>
      <c r="CA49" s="435">
        <f t="shared" si="62"/>
        <v>0</v>
      </c>
      <c r="CB49" s="759" t="str">
        <f t="shared" si="63"/>
        <v>OK</v>
      </c>
      <c r="CC49" s="93">
        <f t="shared" si="64"/>
        <v>0</v>
      </c>
      <c r="CD49" s="759" t="str">
        <f t="shared" si="65"/>
        <v>FORA</v>
      </c>
      <c r="CF49" s="355"/>
      <c r="CG49" s="355"/>
      <c r="CH49" s="355"/>
      <c r="CI49" s="355"/>
      <c r="CJ49" s="355"/>
      <c r="CK49" s="355"/>
      <c r="CL49" s="355"/>
      <c r="CM49" s="355"/>
      <c r="CN49" s="355"/>
      <c r="CO49" s="355"/>
      <c r="CP49" s="355"/>
      <c r="CQ49" s="355"/>
      <c r="CR49" s="355"/>
    </row>
    <row r="50" spans="1:96" ht="36" customHeight="1" x14ac:dyDescent="0.25">
      <c r="A50" s="222" t="s">
        <v>465</v>
      </c>
      <c r="B50" s="220"/>
      <c r="C50" s="347">
        <f>AS34</f>
        <v>3398.1679806000006</v>
      </c>
      <c r="D50" s="111">
        <f>C49+C48</f>
        <v>3398.1679806000006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R50" s="34"/>
      <c r="AJ50" s="186"/>
      <c r="AK50" s="186"/>
      <c r="AL50" s="354"/>
      <c r="AM50" s="354"/>
      <c r="AN50" s="354"/>
      <c r="AO50" s="354"/>
      <c r="AP50" s="354"/>
      <c r="AQ50" s="354"/>
      <c r="AR50" s="355"/>
      <c r="AS50" s="355"/>
      <c r="AT50" s="355"/>
      <c r="AU50" s="355"/>
      <c r="AV50" s="355"/>
      <c r="AW50" s="355"/>
      <c r="AX50" s="355"/>
      <c r="AY50" s="355"/>
      <c r="AZ50" s="355"/>
      <c r="BA50" s="355"/>
      <c r="BB50" s="355"/>
      <c r="BC50" s="355"/>
      <c r="BD50" s="355"/>
      <c r="BE50" s="355"/>
      <c r="BF50" s="355"/>
      <c r="BG50" s="355"/>
      <c r="BH50" s="363"/>
      <c r="BI50" s="363"/>
      <c r="BJ50" s="363"/>
      <c r="BK50" s="355"/>
      <c r="BL50" s="355"/>
      <c r="BM50" s="355"/>
      <c r="BN50" s="355"/>
      <c r="BO50" s="355"/>
      <c r="BP50" s="355"/>
      <c r="BQ50" s="355"/>
      <c r="BR50" s="355"/>
      <c r="BS50" s="355"/>
      <c r="BT50" s="91">
        <f t="shared" si="55"/>
        <v>-5.7295109351078777</v>
      </c>
      <c r="BU50" s="92">
        <f t="shared" si="56"/>
        <v>-6.7314071827500044</v>
      </c>
      <c r="BV50" s="91">
        <f t="shared" si="57"/>
        <v>1.7610924466087479</v>
      </c>
      <c r="BW50" s="92">
        <f t="shared" si="58"/>
        <v>0.73630043188590122</v>
      </c>
      <c r="BX50" s="91">
        <f t="shared" si="59"/>
        <v>-48.693569717982641</v>
      </c>
      <c r="BY50" s="92">
        <f t="shared" si="60"/>
        <v>-3.4057500000000004E-2</v>
      </c>
      <c r="BZ50" s="759" t="str">
        <f t="shared" si="61"/>
        <v>OK</v>
      </c>
      <c r="CA50" s="435">
        <f t="shared" si="62"/>
        <v>0</v>
      </c>
      <c r="CB50" s="759" t="str">
        <f t="shared" si="63"/>
        <v>OK</v>
      </c>
      <c r="CC50" s="93">
        <f t="shared" si="64"/>
        <v>0</v>
      </c>
      <c r="CD50" s="759" t="str">
        <f t="shared" si="65"/>
        <v>FORA</v>
      </c>
      <c r="CF50" s="355"/>
      <c r="CG50" s="355"/>
      <c r="CH50" s="355"/>
      <c r="CI50" s="355"/>
      <c r="CJ50" s="355"/>
      <c r="CK50" s="355"/>
      <c r="CL50" s="355"/>
      <c r="CM50" s="355"/>
      <c r="CN50" s="355"/>
      <c r="CO50" s="355"/>
      <c r="CP50" s="355"/>
      <c r="CQ50" s="355"/>
      <c r="CR50" s="355"/>
    </row>
    <row r="51" spans="1:96" ht="36" customHeight="1" x14ac:dyDescent="0.25">
      <c r="AJ51" s="186"/>
      <c r="AK51" s="186"/>
      <c r="AL51" s="354"/>
      <c r="AM51" s="354"/>
      <c r="AN51" s="354"/>
      <c r="AO51" s="354"/>
      <c r="AP51" s="354"/>
      <c r="AQ51" s="354"/>
      <c r="AR51" s="355"/>
      <c r="AS51" s="355"/>
      <c r="AT51" s="355"/>
      <c r="AU51" s="355"/>
      <c r="AV51" s="355"/>
      <c r="AW51" s="355"/>
      <c r="AX51" s="355"/>
      <c r="AY51" s="355"/>
      <c r="AZ51" s="355"/>
      <c r="BA51" s="355"/>
      <c r="BB51" s="355"/>
      <c r="BC51" s="355"/>
      <c r="BD51" s="355"/>
      <c r="BE51" s="355"/>
      <c r="BF51" s="355"/>
      <c r="BG51" s="355"/>
      <c r="BH51" s="355"/>
      <c r="BI51" s="355"/>
      <c r="BJ51" s="355"/>
      <c r="BK51" s="355"/>
      <c r="BL51" s="355"/>
      <c r="BM51" s="355"/>
      <c r="BN51" s="355"/>
      <c r="BO51" s="355"/>
      <c r="BP51" s="355"/>
      <c r="BQ51" s="355"/>
      <c r="BR51" s="355"/>
      <c r="BS51" s="355"/>
      <c r="BT51" s="91">
        <f t="shared" si="55"/>
        <v>-5.5593186246887862</v>
      </c>
      <c r="BU51" s="92">
        <f t="shared" si="56"/>
        <v>-6.541352654549982</v>
      </c>
      <c r="BV51" s="91">
        <f t="shared" si="57"/>
        <v>1.8717725001831764</v>
      </c>
      <c r="BW51" s="92">
        <f t="shared" si="58"/>
        <v>0.7833432155407678</v>
      </c>
      <c r="BX51" s="91">
        <f t="shared" si="59"/>
        <v>-48.4685610684026</v>
      </c>
      <c r="BY51" s="92">
        <f t="shared" si="60"/>
        <v>-3.3951499999999996E-2</v>
      </c>
      <c r="BZ51" s="759" t="str">
        <f t="shared" si="61"/>
        <v>OK</v>
      </c>
      <c r="CA51" s="435">
        <f t="shared" si="62"/>
        <v>0</v>
      </c>
      <c r="CB51" s="759" t="str">
        <f t="shared" si="63"/>
        <v>OK</v>
      </c>
      <c r="CC51" s="93">
        <f t="shared" si="64"/>
        <v>0</v>
      </c>
      <c r="CD51" s="759" t="str">
        <f t="shared" si="65"/>
        <v>FORA</v>
      </c>
      <c r="CF51" s="355"/>
      <c r="CG51" s="355"/>
      <c r="CH51" s="355"/>
      <c r="CI51" s="355"/>
      <c r="CJ51" s="355"/>
      <c r="CK51" s="355"/>
      <c r="CL51" s="355"/>
      <c r="CM51" s="355"/>
      <c r="CN51" s="355"/>
      <c r="CO51" s="355"/>
      <c r="CP51" s="355"/>
      <c r="CQ51" s="355"/>
      <c r="CR51" s="355"/>
    </row>
    <row r="52" spans="1:96" ht="36" customHeight="1" x14ac:dyDescent="0.25">
      <c r="AI52" s="141"/>
      <c r="AJ52" s="186"/>
      <c r="AK52" s="186"/>
      <c r="AL52" s="354"/>
      <c r="AM52" s="354"/>
      <c r="AN52" s="354"/>
      <c r="AO52" s="354"/>
      <c r="AP52" s="354"/>
      <c r="AQ52" s="354"/>
      <c r="AR52" s="355"/>
      <c r="AS52" s="355"/>
      <c r="AT52" s="355"/>
      <c r="AU52" s="355"/>
      <c r="AV52" s="355"/>
      <c r="AW52" s="355"/>
      <c r="AX52" s="355"/>
      <c r="AY52" s="355"/>
      <c r="AZ52" s="355"/>
      <c r="BA52" s="355"/>
      <c r="BB52" s="355"/>
      <c r="BC52" s="355"/>
      <c r="BD52" s="355"/>
      <c r="BE52" s="355"/>
      <c r="BF52" s="355"/>
      <c r="BG52" s="355"/>
      <c r="BH52" s="355"/>
      <c r="BI52" s="355"/>
      <c r="BJ52" s="355"/>
      <c r="BK52" s="355"/>
      <c r="BL52" s="355"/>
      <c r="BM52" s="355"/>
      <c r="BN52" s="355"/>
      <c r="BO52" s="355"/>
      <c r="BP52" s="355"/>
      <c r="BQ52" s="355"/>
      <c r="BR52" s="355"/>
      <c r="BS52" s="355"/>
      <c r="BT52" s="91">
        <f t="shared" si="55"/>
        <v>-5.6211530475016085</v>
      </c>
      <c r="BU52" s="92">
        <f t="shared" si="56"/>
        <v>-6.6077364342999942</v>
      </c>
      <c r="BV52" s="91">
        <f t="shared" si="57"/>
        <v>1.9747331034803972</v>
      </c>
      <c r="BW52" s="92">
        <f t="shared" si="58"/>
        <v>0.82740134859073322</v>
      </c>
      <c r="BX52" s="91">
        <f t="shared" si="59"/>
        <v>-48.611766050785207</v>
      </c>
      <c r="BY52" s="92">
        <f t="shared" si="60"/>
        <v>-3.4018999999999994E-2</v>
      </c>
      <c r="BZ52" s="759" t="str">
        <f t="shared" si="61"/>
        <v>OK</v>
      </c>
      <c r="CA52" s="435">
        <f t="shared" si="62"/>
        <v>0</v>
      </c>
      <c r="CB52" s="759" t="str">
        <f t="shared" si="63"/>
        <v>OK</v>
      </c>
      <c r="CC52" s="93">
        <f t="shared" si="64"/>
        <v>0</v>
      </c>
      <c r="CD52" s="759" t="str">
        <f t="shared" si="65"/>
        <v>FORA</v>
      </c>
      <c r="CF52" s="355"/>
      <c r="CG52" s="355"/>
      <c r="CH52" s="355"/>
      <c r="CI52" s="355"/>
      <c r="CJ52" s="355"/>
      <c r="CK52" s="355"/>
      <c r="CL52" s="355"/>
      <c r="CM52" s="355"/>
      <c r="CN52" s="355"/>
      <c r="CO52" s="355"/>
      <c r="CP52" s="355"/>
      <c r="CQ52" s="355"/>
      <c r="CR52" s="355"/>
    </row>
    <row r="53" spans="1:96" ht="36" customHeight="1" thickBot="1" x14ac:dyDescent="0.3">
      <c r="A53" s="800" t="s">
        <v>58</v>
      </c>
      <c r="B53" s="800"/>
      <c r="C53" s="800"/>
      <c r="D53" s="800"/>
      <c r="E53" s="800"/>
      <c r="F53" s="233"/>
      <c r="G53" s="233"/>
      <c r="H53" s="233"/>
      <c r="I53" s="233"/>
      <c r="J53" s="233"/>
      <c r="K53" s="233"/>
      <c r="L53" s="813" t="s">
        <v>466</v>
      </c>
      <c r="M53" s="813"/>
      <c r="N53" s="233"/>
      <c r="O53" s="801" t="s">
        <v>467</v>
      </c>
      <c r="P53" s="801"/>
      <c r="Q53" s="801"/>
      <c r="R53" s="801"/>
      <c r="S53" s="233"/>
      <c r="T53" s="233"/>
      <c r="U53" s="802" t="s">
        <v>468</v>
      </c>
      <c r="V53" s="802"/>
      <c r="W53" s="802"/>
      <c r="X53" s="802"/>
      <c r="Y53" s="233"/>
      <c r="Z53" s="803" t="s">
        <v>604</v>
      </c>
      <c r="AA53" s="803"/>
      <c r="AB53" s="803"/>
      <c r="AC53" s="233"/>
      <c r="AD53" s="233"/>
      <c r="AE53" s="233"/>
      <c r="AF53" s="233"/>
      <c r="AG53" s="233"/>
      <c r="AH53" s="233"/>
      <c r="AI53" s="217"/>
      <c r="AJ53" s="186"/>
      <c r="AK53" s="186"/>
      <c r="AL53" s="354"/>
      <c r="AM53" s="354"/>
      <c r="AN53" s="354"/>
      <c r="AO53" s="354"/>
      <c r="AP53" s="354"/>
      <c r="AQ53" s="354"/>
      <c r="AR53" s="355"/>
      <c r="AS53" s="355"/>
      <c r="AT53" s="355"/>
      <c r="AU53" s="355"/>
      <c r="AV53" s="365"/>
      <c r="AW53" s="365"/>
      <c r="AX53" s="365"/>
      <c r="AY53" s="365"/>
      <c r="AZ53" s="365"/>
      <c r="BA53" s="365"/>
      <c r="BB53" s="365"/>
      <c r="BC53" s="365"/>
      <c r="BD53" s="365"/>
      <c r="BE53" s="365"/>
      <c r="BF53" s="365"/>
      <c r="BG53" s="365"/>
      <c r="BH53" s="365"/>
      <c r="BI53" s="365"/>
      <c r="BJ53" s="365"/>
      <c r="BK53" s="365"/>
      <c r="BL53" s="365"/>
      <c r="BM53" s="365"/>
      <c r="BN53" s="365"/>
      <c r="BO53" s="365"/>
      <c r="BP53" s="365"/>
      <c r="BQ53" s="365"/>
      <c r="BR53" s="365"/>
      <c r="BS53" s="365"/>
      <c r="BT53" s="91">
        <f t="shared" si="55"/>
        <v>-5.5373193467673625</v>
      </c>
      <c r="BU53" s="92">
        <f t="shared" si="56"/>
        <v>-6.5134674880999768</v>
      </c>
      <c r="BV53" s="91">
        <f t="shared" si="57"/>
        <v>1.9335394450287906</v>
      </c>
      <c r="BW53" s="92">
        <f t="shared" si="58"/>
        <v>0.8100180282900098</v>
      </c>
      <c r="BX53" s="91">
        <f t="shared" si="59"/>
        <v>-48.514144544247202</v>
      </c>
      <c r="BY53" s="92">
        <f t="shared" si="60"/>
        <v>-3.3972999999999989E-2</v>
      </c>
      <c r="BZ53" s="759" t="str">
        <f t="shared" si="61"/>
        <v>OK</v>
      </c>
      <c r="CA53" s="435">
        <f t="shared" si="62"/>
        <v>0</v>
      </c>
      <c r="CB53" s="759" t="str">
        <f t="shared" si="63"/>
        <v>OK</v>
      </c>
      <c r="CC53" s="93" t="e">
        <f t="shared" si="64"/>
        <v>#VALUE!</v>
      </c>
      <c r="CD53" s="759" t="str">
        <f t="shared" si="65"/>
        <v>FORA</v>
      </c>
      <c r="CF53" s="366"/>
      <c r="CG53" s="355"/>
      <c r="CH53" s="355"/>
      <c r="CI53" s="355"/>
      <c r="CJ53" s="355"/>
      <c r="CK53" s="355"/>
      <c r="CL53" s="355"/>
      <c r="CM53" s="355"/>
      <c r="CN53" s="355"/>
      <c r="CO53" s="355"/>
      <c r="CP53" s="355"/>
      <c r="CQ53" s="355"/>
      <c r="CR53" s="355"/>
    </row>
    <row r="54" spans="1:96" s="218" customFormat="1" ht="66" customHeight="1" thickBot="1" x14ac:dyDescent="0.3">
      <c r="A54" s="294" t="s">
        <v>59</v>
      </c>
      <c r="B54" s="295"/>
      <c r="C54" s="296" t="s">
        <v>60</v>
      </c>
      <c r="D54" s="296" t="s">
        <v>61</v>
      </c>
      <c r="E54" s="297" t="s">
        <v>62</v>
      </c>
      <c r="F54" s="804" t="s">
        <v>605</v>
      </c>
      <c r="G54" s="805"/>
      <c r="H54" s="806"/>
      <c r="I54" s="216"/>
      <c r="J54" s="216"/>
      <c r="K54" s="216"/>
      <c r="L54" s="299" t="s">
        <v>471</v>
      </c>
      <c r="M54" s="300" t="s">
        <v>472</v>
      </c>
      <c r="N54" s="216"/>
      <c r="O54" s="709" t="s">
        <v>473</v>
      </c>
      <c r="P54" s="710" t="s">
        <v>474</v>
      </c>
      <c r="Q54" s="710" t="s">
        <v>475</v>
      </c>
      <c r="R54" s="300" t="s">
        <v>476</v>
      </c>
      <c r="S54" s="711" t="s">
        <v>185</v>
      </c>
      <c r="T54" s="719" t="s">
        <v>477</v>
      </c>
      <c r="U54" s="715" t="s">
        <v>606</v>
      </c>
      <c r="V54" s="712" t="s">
        <v>607</v>
      </c>
      <c r="W54" s="300" t="s">
        <v>480</v>
      </c>
      <c r="X54" s="216"/>
      <c r="Y54" s="216"/>
      <c r="Z54" s="310" t="s">
        <v>481</v>
      </c>
      <c r="AA54" s="296" t="s">
        <v>482</v>
      </c>
      <c r="AB54" s="297" t="s">
        <v>483</v>
      </c>
      <c r="AC54" s="285"/>
      <c r="AD54" s="216"/>
      <c r="AE54" s="216"/>
      <c r="AF54" s="216"/>
      <c r="AG54" s="216"/>
      <c r="AH54" s="216"/>
      <c r="AI54" s="81"/>
      <c r="AJ54" s="186"/>
      <c r="AK54" s="186"/>
      <c r="AL54" s="354"/>
      <c r="AM54" s="354"/>
      <c r="AN54" s="354"/>
      <c r="AO54" s="354"/>
      <c r="AP54" s="354"/>
      <c r="AQ54" s="354"/>
      <c r="AR54" s="355"/>
      <c r="AS54" s="355"/>
      <c r="AT54" s="355"/>
      <c r="AU54" s="355"/>
      <c r="AV54" s="368"/>
      <c r="AW54" s="368"/>
      <c r="AX54" s="368"/>
      <c r="AY54" s="368"/>
      <c r="AZ54" s="368"/>
      <c r="BA54" s="368"/>
      <c r="BB54" s="368"/>
      <c r="BC54" s="368"/>
      <c r="BD54" s="368"/>
      <c r="BE54" s="368"/>
      <c r="BF54" s="368"/>
      <c r="BG54" s="368"/>
      <c r="BH54" s="368"/>
      <c r="BI54" s="368"/>
      <c r="BJ54" s="368"/>
      <c r="BK54" s="368"/>
      <c r="BL54" s="368"/>
      <c r="BM54" s="368"/>
      <c r="BN54" s="368"/>
      <c r="BO54" s="368"/>
      <c r="BP54" s="368"/>
      <c r="BQ54" s="368"/>
      <c r="BR54" s="368"/>
      <c r="BS54" s="368"/>
      <c r="BT54" s="91">
        <f t="shared" si="55"/>
        <v>-5.6569206019457958</v>
      </c>
      <c r="BU54" s="92">
        <f t="shared" si="56"/>
        <v>-6.6476911476999732</v>
      </c>
      <c r="BV54" s="91">
        <f t="shared" si="57"/>
        <v>2.0841034873244184</v>
      </c>
      <c r="BW54" s="92">
        <f t="shared" si="58"/>
        <v>0.87441511047369147</v>
      </c>
      <c r="BX54" s="91">
        <f t="shared" si="59"/>
        <v>-48.658499978558851</v>
      </c>
      <c r="BY54" s="92">
        <f t="shared" si="60"/>
        <v>-3.4040999999999988E-2</v>
      </c>
      <c r="BZ54" s="759" t="str">
        <f t="shared" si="61"/>
        <v>OK</v>
      </c>
      <c r="CA54" s="435" t="e">
        <f t="shared" si="62"/>
        <v>#VALUE!</v>
      </c>
      <c r="CB54" s="759" t="str">
        <f t="shared" si="63"/>
        <v>OK</v>
      </c>
      <c r="CC54" s="93" t="e">
        <f t="shared" si="64"/>
        <v>#VALUE!</v>
      </c>
      <c r="CD54" s="759" t="str">
        <f t="shared" si="65"/>
        <v>FORA</v>
      </c>
      <c r="CE54" s="28"/>
      <c r="CF54" s="368"/>
      <c r="CG54" s="367"/>
      <c r="CH54" s="367"/>
      <c r="CI54" s="367"/>
      <c r="CJ54" s="367"/>
      <c r="CK54" s="367"/>
      <c r="CL54" s="367"/>
      <c r="CM54" s="367"/>
      <c r="CN54" s="367"/>
      <c r="CO54" s="367"/>
      <c r="CP54" s="367"/>
      <c r="CQ54" s="367"/>
      <c r="CR54" s="367"/>
    </row>
    <row r="55" spans="1:96" ht="36" customHeight="1" thickBot="1" x14ac:dyDescent="0.3">
      <c r="A55" s="255" t="s">
        <v>484</v>
      </c>
      <c r="B55" s="274"/>
      <c r="C55" s="287">
        <v>0</v>
      </c>
      <c r="D55" s="287">
        <v>0</v>
      </c>
      <c r="E55" s="288">
        <v>0</v>
      </c>
      <c r="F55" s="807"/>
      <c r="G55" s="808"/>
      <c r="H55" s="809"/>
      <c r="L55" s="301" t="s">
        <v>485</v>
      </c>
      <c r="M55" s="303" t="s">
        <v>486</v>
      </c>
      <c r="O55" s="142">
        <v>46130.333333333336</v>
      </c>
      <c r="P55" s="171">
        <v>0.05</v>
      </c>
      <c r="Q55" s="171">
        <v>802</v>
      </c>
      <c r="R55" s="170">
        <v>860.1</v>
      </c>
      <c r="S55" s="702">
        <v>795.59427594747206</v>
      </c>
      <c r="T55" s="720"/>
      <c r="U55" s="314">
        <v>0.84030000000000005</v>
      </c>
      <c r="V55" s="292">
        <v>72.69</v>
      </c>
      <c r="W55" s="325"/>
      <c r="Z55" s="395" t="s">
        <v>487</v>
      </c>
      <c r="AA55" s="397">
        <v>4786.5140000000001</v>
      </c>
      <c r="AB55" s="398">
        <v>4790.8620000000001</v>
      </c>
      <c r="AC55" s="881" t="s">
        <v>488</v>
      </c>
      <c r="AJ55" s="186"/>
      <c r="AK55" s="186"/>
      <c r="AL55" s="354"/>
      <c r="AM55" s="354"/>
      <c r="AN55" s="354"/>
      <c r="AO55" s="354"/>
      <c r="AP55" s="354"/>
      <c r="AQ55" s="354"/>
      <c r="AR55" s="355"/>
      <c r="AS55" s="355"/>
      <c r="AT55" s="355"/>
      <c r="AU55" s="355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55"/>
      <c r="BI55" s="355"/>
      <c r="BJ55" s="355"/>
      <c r="BK55" s="362"/>
      <c r="BL55" s="362"/>
      <c r="BM55" s="362"/>
      <c r="BN55" s="362"/>
      <c r="BO55" s="362"/>
      <c r="BP55" s="362"/>
      <c r="BQ55" s="362"/>
      <c r="BR55" s="362"/>
      <c r="BS55" s="362"/>
      <c r="BT55" s="91">
        <f t="shared" si="55"/>
        <v>-5.6129733877775738</v>
      </c>
      <c r="BU55" s="92">
        <f t="shared" si="56"/>
        <v>-6.5966125894999834</v>
      </c>
      <c r="BV55" s="91">
        <f t="shared" si="57"/>
        <v>2.2172244263028298</v>
      </c>
      <c r="BW55" s="92">
        <f t="shared" si="58"/>
        <v>0.93164772086925041</v>
      </c>
      <c r="BX55" s="91">
        <f t="shared" si="59"/>
        <v>-48.645751447152143</v>
      </c>
      <c r="BY55" s="92">
        <f t="shared" si="60"/>
        <v>-3.4034999999999996E-2</v>
      </c>
      <c r="BZ55" s="759" t="str">
        <f t="shared" si="61"/>
        <v>OK</v>
      </c>
      <c r="CA55" s="435">
        <f t="shared" si="62"/>
        <v>0</v>
      </c>
      <c r="CB55" s="759" t="str">
        <f t="shared" si="63"/>
        <v>OK</v>
      </c>
      <c r="CC55" s="93">
        <f t="shared" si="64"/>
        <v>-0.84030000000000005</v>
      </c>
      <c r="CD55" s="759" t="str">
        <f t="shared" si="65"/>
        <v>FORA</v>
      </c>
      <c r="CF55" s="362"/>
      <c r="CG55" s="355"/>
      <c r="CH55" s="355"/>
      <c r="CI55" s="355"/>
      <c r="CJ55" s="355"/>
      <c r="CK55" s="355"/>
      <c r="CL55" s="355"/>
      <c r="CM55" s="355"/>
      <c r="CN55" s="355"/>
      <c r="CO55" s="355"/>
      <c r="CP55" s="355"/>
      <c r="CQ55" s="355"/>
      <c r="CR55" s="355"/>
    </row>
    <row r="56" spans="1:96" ht="50.25" customHeight="1" x14ac:dyDescent="0.25">
      <c r="A56" s="264" t="s">
        <v>489</v>
      </c>
      <c r="B56" s="158"/>
      <c r="C56" s="261">
        <f>F35</f>
        <v>5.0040551236078382E-2</v>
      </c>
      <c r="D56" s="261">
        <f>F36</f>
        <v>5.0040819799070158E-2</v>
      </c>
      <c r="E56" s="320">
        <f>F34</f>
        <v>5.0040701774771268E-2</v>
      </c>
      <c r="F56" s="807"/>
      <c r="G56" s="808"/>
      <c r="H56" s="809"/>
      <c r="L56" s="301" t="s">
        <v>490</v>
      </c>
      <c r="M56" s="303" t="s">
        <v>491</v>
      </c>
      <c r="N56" s="112"/>
      <c r="O56" s="142">
        <v>46130.375</v>
      </c>
      <c r="P56" s="166">
        <v>0.05</v>
      </c>
      <c r="Q56" s="166">
        <v>802</v>
      </c>
      <c r="R56" s="170">
        <v>860.1</v>
      </c>
      <c r="S56" s="702">
        <v>795.59427594747171</v>
      </c>
      <c r="T56" s="720"/>
      <c r="U56" s="716" t="s">
        <v>608</v>
      </c>
      <c r="V56" s="714" t="s">
        <v>609</v>
      </c>
      <c r="W56" s="713"/>
      <c r="X56" s="80"/>
      <c r="Y56" s="80"/>
      <c r="Z56" s="395" t="s">
        <v>492</v>
      </c>
      <c r="AA56" s="399">
        <v>4822.5079999999998</v>
      </c>
      <c r="AB56" s="313">
        <v>4826.8560000000007</v>
      </c>
      <c r="AC56" s="881"/>
      <c r="AD56" s="80"/>
      <c r="AE56" s="80"/>
      <c r="AF56" s="80"/>
      <c r="AG56" s="80"/>
      <c r="AH56" s="80"/>
      <c r="AI56" s="80"/>
      <c r="AJ56" s="186"/>
      <c r="AK56" s="186"/>
      <c r="AL56" s="354"/>
      <c r="AM56" s="354"/>
      <c r="AN56" s="354"/>
      <c r="AO56" s="354"/>
      <c r="AP56" s="354"/>
      <c r="AQ56" s="354"/>
      <c r="AR56" s="355"/>
      <c r="AS56" s="355"/>
      <c r="AT56" s="355"/>
      <c r="AU56" s="355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9"/>
      <c r="BI56" s="369"/>
      <c r="BJ56" s="369"/>
      <c r="BK56" s="369"/>
      <c r="BL56" s="369"/>
      <c r="BM56" s="369"/>
      <c r="BN56" s="369"/>
      <c r="BO56" s="369"/>
      <c r="BP56" s="369"/>
      <c r="BQ56" s="369"/>
      <c r="BR56" s="369"/>
      <c r="BS56" s="369"/>
      <c r="BT56" s="91">
        <f t="shared" si="55"/>
        <v>-5.6225939810072276</v>
      </c>
      <c r="BU56" s="92">
        <f t="shared" si="56"/>
        <v>-6.6072107872499828</v>
      </c>
      <c r="BV56" s="91">
        <f t="shared" si="57"/>
        <v>2.1095599746038434</v>
      </c>
      <c r="BW56" s="92">
        <f t="shared" si="58"/>
        <v>0.88513195787479049</v>
      </c>
      <c r="BX56" s="91">
        <f t="shared" si="59"/>
        <v>-48.661687453096533</v>
      </c>
      <c r="BY56" s="92">
        <f t="shared" si="60"/>
        <v>-3.4042500000000003E-2</v>
      </c>
      <c r="BZ56" s="759" t="str">
        <f t="shared" si="61"/>
        <v>OK</v>
      </c>
      <c r="CA56" s="435">
        <f t="shared" si="62"/>
        <v>0</v>
      </c>
      <c r="CB56" s="759" t="str">
        <f t="shared" si="63"/>
        <v>OK</v>
      </c>
      <c r="CC56" s="93" t="e">
        <f t="shared" si="64"/>
        <v>#VALUE!</v>
      </c>
      <c r="CD56" s="759" t="str">
        <f t="shared" si="65"/>
        <v>FORA</v>
      </c>
      <c r="CF56" s="362"/>
      <c r="CG56" s="355"/>
      <c r="CH56" s="355"/>
      <c r="CI56" s="355"/>
      <c r="CJ56" s="355"/>
      <c r="CK56" s="355"/>
      <c r="CL56" s="355"/>
      <c r="CM56" s="355"/>
      <c r="CN56" s="355"/>
      <c r="CO56" s="355"/>
      <c r="CP56" s="355"/>
      <c r="CQ56" s="355"/>
      <c r="CR56" s="355"/>
    </row>
    <row r="57" spans="1:96" ht="36" customHeight="1" thickBot="1" x14ac:dyDescent="0.3">
      <c r="A57" s="264" t="s">
        <v>493</v>
      </c>
      <c r="B57" s="223"/>
      <c r="C57" s="261">
        <f>E35</f>
        <v>5.0040551236078382E-2</v>
      </c>
      <c r="D57" s="261">
        <f>E36</f>
        <v>5.0040819799070158E-2</v>
      </c>
      <c r="E57" s="320">
        <f>E34</f>
        <v>5.0040701774771268E-2</v>
      </c>
      <c r="F57" s="807"/>
      <c r="G57" s="808"/>
      <c r="H57" s="809"/>
      <c r="L57" s="304" t="s">
        <v>494</v>
      </c>
      <c r="M57" s="293" t="s">
        <v>495</v>
      </c>
      <c r="N57" s="112"/>
      <c r="O57" s="142">
        <v>46130.416666666664</v>
      </c>
      <c r="P57" s="166">
        <v>0.05</v>
      </c>
      <c r="Q57" s="166">
        <v>802</v>
      </c>
      <c r="R57" s="170">
        <v>860.1</v>
      </c>
      <c r="S57" s="702">
        <v>795.59427594747206</v>
      </c>
      <c r="T57" s="720"/>
      <c r="U57" s="722">
        <v>0.87204548714673003</v>
      </c>
      <c r="V57" s="723">
        <v>62.109283174073262</v>
      </c>
      <c r="W57" s="713"/>
      <c r="X57" s="80"/>
      <c r="Y57" s="80"/>
      <c r="Z57" s="396" t="s">
        <v>496</v>
      </c>
      <c r="AA57" s="400">
        <v>5438.7719999999999</v>
      </c>
      <c r="AB57" s="293">
        <v>5443.6880000000001</v>
      </c>
      <c r="AC57" s="881"/>
      <c r="AD57" s="80"/>
      <c r="AE57" s="80"/>
      <c r="AF57" s="80"/>
      <c r="AG57" s="80"/>
      <c r="AH57" s="80"/>
      <c r="AI57" s="80"/>
      <c r="AJ57" s="186"/>
      <c r="AK57" s="186"/>
      <c r="AL57" s="354"/>
      <c r="AM57" s="354"/>
      <c r="AN57" s="354"/>
      <c r="AO57" s="354"/>
      <c r="AP57" s="354"/>
      <c r="AQ57" s="354"/>
      <c r="AR57" s="355"/>
      <c r="AS57" s="355"/>
      <c r="AT57" s="355"/>
      <c r="AU57" s="355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72"/>
      <c r="BI57" s="372"/>
      <c r="BJ57" s="372"/>
      <c r="BK57" s="372"/>
      <c r="BL57" s="372"/>
      <c r="BM57" s="372"/>
      <c r="BN57" s="372"/>
      <c r="BO57" s="372"/>
      <c r="BP57" s="372"/>
      <c r="BQ57" s="372"/>
      <c r="BR57" s="372"/>
      <c r="BS57" s="372"/>
      <c r="BT57" s="91">
        <f t="shared" si="55"/>
        <v>-5.707044791762824</v>
      </c>
      <c r="BU57" s="92">
        <f t="shared" si="56"/>
        <v>-6.7022803341999833</v>
      </c>
      <c r="BV57" s="91">
        <f t="shared" si="57"/>
        <v>2.3242131213260557</v>
      </c>
      <c r="BW57" s="92">
        <f t="shared" si="58"/>
        <v>0.97722053250700469</v>
      </c>
      <c r="BX57" s="91">
        <f t="shared" si="59"/>
        <v>-48.754183711416871</v>
      </c>
      <c r="BY57" s="92">
        <f t="shared" si="60"/>
        <v>-3.4085999999999991E-2</v>
      </c>
      <c r="BZ57" s="759" t="str">
        <f t="shared" si="61"/>
        <v>OK</v>
      </c>
      <c r="CA57" s="435">
        <f t="shared" si="62"/>
        <v>0</v>
      </c>
      <c r="CB57" s="759" t="str">
        <f t="shared" si="63"/>
        <v>OK</v>
      </c>
      <c r="CC57" s="93">
        <f t="shared" si="64"/>
        <v>-0.87204548714673003</v>
      </c>
      <c r="CD57" s="759" t="str">
        <f t="shared" si="65"/>
        <v>FORA</v>
      </c>
      <c r="CF57" s="362"/>
      <c r="CG57" s="355"/>
      <c r="CH57" s="355"/>
      <c r="CI57" s="355"/>
      <c r="CJ57" s="355"/>
      <c r="CK57" s="355"/>
      <c r="CL57" s="355"/>
      <c r="CM57" s="355"/>
      <c r="CN57" s="355"/>
      <c r="CO57" s="355"/>
      <c r="CP57" s="355"/>
      <c r="CQ57" s="355"/>
      <c r="CR57" s="355"/>
    </row>
    <row r="58" spans="1:96" ht="36" customHeight="1" thickBot="1" x14ac:dyDescent="0.3">
      <c r="A58" s="265" t="s">
        <v>497</v>
      </c>
      <c r="B58" s="275"/>
      <c r="C58" s="292" t="s">
        <v>12</v>
      </c>
      <c r="D58" s="292" t="s">
        <v>12</v>
      </c>
      <c r="E58" s="293" t="s">
        <v>12</v>
      </c>
      <c r="F58" s="810"/>
      <c r="G58" s="811"/>
      <c r="H58" s="812"/>
      <c r="K58" s="113"/>
      <c r="L58" s="113"/>
      <c r="M58" s="150"/>
      <c r="N58" s="113"/>
      <c r="O58" s="142">
        <v>46130.458333333336</v>
      </c>
      <c r="P58" s="166">
        <v>0.05</v>
      </c>
      <c r="Q58" s="166">
        <v>802</v>
      </c>
      <c r="R58" s="170">
        <v>860.1</v>
      </c>
      <c r="S58" s="702">
        <v>795.59427594747206</v>
      </c>
      <c r="T58" s="720"/>
      <c r="U58" s="717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186"/>
      <c r="AK58" s="186"/>
      <c r="AL58" s="354"/>
      <c r="AM58" s="354"/>
      <c r="AN58" s="354"/>
      <c r="AO58" s="354"/>
      <c r="AP58" s="354"/>
      <c r="AQ58" s="354"/>
      <c r="AR58" s="355"/>
      <c r="AS58" s="355"/>
      <c r="AT58" s="355"/>
      <c r="AU58" s="355"/>
      <c r="AV58" s="362"/>
      <c r="AW58" s="362"/>
      <c r="AX58" s="362"/>
      <c r="AY58" s="362"/>
      <c r="AZ58" s="362"/>
      <c r="BA58" s="362"/>
      <c r="BB58" s="362"/>
      <c r="BC58" s="362"/>
      <c r="BD58" s="362"/>
      <c r="BE58" s="362"/>
      <c r="BF58" s="362"/>
      <c r="BG58" s="362"/>
      <c r="BH58" s="373"/>
      <c r="BI58" s="373"/>
      <c r="BJ58" s="373"/>
      <c r="BK58" s="372"/>
      <c r="BL58" s="372"/>
      <c r="BM58" s="372"/>
      <c r="BN58" s="372"/>
      <c r="BO58" s="372"/>
      <c r="BP58" s="372"/>
      <c r="BQ58" s="372"/>
      <c r="BR58" s="372"/>
      <c r="BS58" s="372"/>
      <c r="BT58" s="91">
        <f t="shared" si="55"/>
        <v>-5.6616543618883446</v>
      </c>
      <c r="BU58" s="92">
        <f t="shared" si="56"/>
        <v>-6.6534917484499942</v>
      </c>
      <c r="BV58" s="91">
        <f t="shared" si="57"/>
        <v>2.3826414922954973</v>
      </c>
      <c r="BW58" s="92">
        <f t="shared" si="58"/>
        <v>1.0020203648051691</v>
      </c>
      <c r="BX58" s="91">
        <f>((BG27-AH27)/BG27)*100</f>
        <v>-47.223830249494362</v>
      </c>
      <c r="BY58" s="92">
        <f t="shared" si="60"/>
        <v>-3.3038499999999998E-2</v>
      </c>
      <c r="BZ58" s="759" t="str">
        <f t="shared" si="61"/>
        <v>OK</v>
      </c>
      <c r="CA58" s="435">
        <f t="shared" si="62"/>
        <v>0</v>
      </c>
      <c r="CB58" s="759" t="str">
        <f t="shared" si="63"/>
        <v>OK</v>
      </c>
      <c r="CC58" s="93">
        <f t="shared" si="64"/>
        <v>0</v>
      </c>
      <c r="CD58" s="759" t="str">
        <f t="shared" si="65"/>
        <v>FORA</v>
      </c>
      <c r="CF58" s="362"/>
      <c r="CG58" s="355"/>
      <c r="CH58" s="355"/>
      <c r="CI58" s="355"/>
      <c r="CJ58" s="355"/>
      <c r="CK58" s="355"/>
      <c r="CL58" s="355"/>
      <c r="CM58" s="355"/>
      <c r="CN58" s="355"/>
      <c r="CO58" s="355"/>
      <c r="CP58" s="355"/>
      <c r="CQ58" s="355"/>
      <c r="CR58" s="355"/>
    </row>
    <row r="59" spans="1:96" ht="35.25" customHeight="1" x14ac:dyDescent="0.25">
      <c r="A59" s="290" t="s">
        <v>498</v>
      </c>
      <c r="B59" s="291"/>
      <c r="C59" s="289">
        <f>AA35</f>
        <v>106.68600000000001</v>
      </c>
      <c r="D59" s="289">
        <f>AA36</f>
        <v>106.864</v>
      </c>
      <c r="E59" s="298">
        <f>AVERAGE(AA10:AA33)</f>
        <v>106.76445833333334</v>
      </c>
      <c r="F59" s="302">
        <f>SUM(AA10:AA33)</f>
        <v>2562.3470000000002</v>
      </c>
      <c r="G59" s="260"/>
      <c r="H59" s="260"/>
      <c r="K59" s="113"/>
      <c r="L59" s="113"/>
      <c r="M59" s="150"/>
      <c r="N59" s="113"/>
      <c r="O59" s="142">
        <v>46130.5</v>
      </c>
      <c r="P59" s="166">
        <v>0.05</v>
      </c>
      <c r="Q59" s="166">
        <v>802</v>
      </c>
      <c r="R59" s="170">
        <v>860.1</v>
      </c>
      <c r="S59" s="702">
        <v>795.59427594747206</v>
      </c>
      <c r="T59" s="720"/>
      <c r="U59" s="9" t="s">
        <v>610</v>
      </c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31"/>
      <c r="AL59" s="371"/>
      <c r="AM59" s="371"/>
      <c r="AN59" s="355"/>
      <c r="AO59" s="355"/>
      <c r="AP59" s="355"/>
      <c r="AQ59" s="355"/>
      <c r="AR59" s="355"/>
      <c r="AS59" s="355"/>
      <c r="AT59" s="355"/>
      <c r="AU59" s="355"/>
      <c r="AV59" s="355"/>
      <c r="AW59" s="355"/>
      <c r="AX59" s="355"/>
      <c r="AY59" s="355"/>
      <c r="AZ59" s="355"/>
      <c r="BA59" s="355"/>
      <c r="BB59" s="355"/>
      <c r="BC59" s="355"/>
      <c r="BD59" s="355"/>
      <c r="BE59" s="355"/>
      <c r="BF59" s="355"/>
      <c r="BG59" s="355"/>
      <c r="BH59" s="355"/>
      <c r="BI59" s="355"/>
      <c r="BJ59" s="355"/>
      <c r="BK59" s="370"/>
      <c r="BL59" s="370"/>
      <c r="BM59" s="370"/>
      <c r="BN59" s="370"/>
      <c r="BO59" s="370"/>
      <c r="BP59" s="370"/>
      <c r="BQ59" s="370"/>
      <c r="BR59" s="370"/>
      <c r="BS59" s="370"/>
      <c r="BT59" s="91">
        <f t="shared" si="55"/>
        <v>-5.7672810370891625</v>
      </c>
      <c r="BU59" s="92">
        <f t="shared" si="56"/>
        <v>-6.7698725244499656</v>
      </c>
      <c r="BV59" s="91">
        <f t="shared" si="57"/>
        <v>2.6229625695411558</v>
      </c>
      <c r="BW59" s="92">
        <f t="shared" si="58"/>
        <v>1.1060522261977326</v>
      </c>
      <c r="BX59" s="91">
        <f t="shared" ref="BX42:BX65" si="66">((BG28-AH28)/BG28)*100</f>
        <v>-48.823365268347125</v>
      </c>
      <c r="BY59" s="92">
        <f t="shared" si="60"/>
        <v>-3.4118499999999996E-2</v>
      </c>
      <c r="BZ59" s="759" t="str">
        <f t="shared" si="61"/>
        <v>OK</v>
      </c>
      <c r="CA59" s="435">
        <f t="shared" si="62"/>
        <v>0</v>
      </c>
      <c r="CB59" s="759" t="str">
        <f t="shared" si="63"/>
        <v>OK</v>
      </c>
      <c r="CC59" s="93" t="e">
        <f t="shared" si="64"/>
        <v>#VALUE!</v>
      </c>
      <c r="CD59" s="759" t="str">
        <f t="shared" si="65"/>
        <v>FORA</v>
      </c>
      <c r="CF59" s="355"/>
      <c r="CG59" s="355"/>
      <c r="CH59" s="355"/>
      <c r="CI59" s="355"/>
      <c r="CJ59" s="355"/>
      <c r="CK59" s="355"/>
      <c r="CL59" s="355"/>
      <c r="CM59" s="355"/>
      <c r="CN59" s="355"/>
      <c r="CO59" s="355"/>
      <c r="CP59" s="355"/>
      <c r="CQ59" s="355"/>
      <c r="CR59" s="355"/>
    </row>
    <row r="60" spans="1:96" ht="35.25" customHeight="1" x14ac:dyDescent="0.3">
      <c r="A60" s="264" t="s">
        <v>499</v>
      </c>
      <c r="B60" s="224"/>
      <c r="C60" s="262">
        <f>AB35</f>
        <v>35.741</v>
      </c>
      <c r="D60" s="262">
        <f>AB36</f>
        <v>35.801000000000002</v>
      </c>
      <c r="E60" s="270">
        <f>AVERAGE(AB10:AB33)</f>
        <v>35.767500000000005</v>
      </c>
      <c r="F60" s="269">
        <f>SUM(AB10:AB33)</f>
        <v>858.42000000000007</v>
      </c>
      <c r="M60" s="404"/>
      <c r="N60" s="116"/>
      <c r="O60" s="142">
        <v>46130.541666666664</v>
      </c>
      <c r="P60" s="166">
        <v>0.05</v>
      </c>
      <c r="Q60" s="171">
        <v>801.5</v>
      </c>
      <c r="R60" s="170">
        <v>860.1</v>
      </c>
      <c r="S60" s="702">
        <v>795.59427594747206</v>
      </c>
      <c r="T60" s="720"/>
      <c r="U60" s="9" t="s">
        <v>611</v>
      </c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31"/>
      <c r="AL60" s="371"/>
      <c r="AM60" s="371"/>
      <c r="AN60" s="355"/>
      <c r="AO60" s="355"/>
      <c r="AP60" s="355"/>
      <c r="AQ60" s="355"/>
      <c r="AR60" s="355"/>
      <c r="AS60" s="355"/>
      <c r="AT60" s="355"/>
      <c r="AU60" s="355"/>
      <c r="AV60" s="355"/>
      <c r="AW60" s="355"/>
      <c r="AX60" s="355"/>
      <c r="AY60" s="355"/>
      <c r="AZ60" s="355"/>
      <c r="BA60" s="355"/>
      <c r="BB60" s="355"/>
      <c r="BC60" s="355"/>
      <c r="BD60" s="355"/>
      <c r="BE60" s="355"/>
      <c r="BF60" s="355"/>
      <c r="BG60" s="355"/>
      <c r="BH60" s="375"/>
      <c r="BI60" s="375"/>
      <c r="BJ60" s="375"/>
      <c r="BK60" s="370"/>
      <c r="BL60" s="370"/>
      <c r="BM60" s="370"/>
      <c r="BN60" s="370"/>
      <c r="BO60" s="370"/>
      <c r="BP60" s="370"/>
      <c r="BQ60" s="370"/>
      <c r="BR60" s="370"/>
      <c r="BS60" s="370"/>
      <c r="BT60" s="91">
        <f t="shared" si="55"/>
        <v>-4.9091358990553466</v>
      </c>
      <c r="BU60" s="92">
        <f t="shared" si="56"/>
        <v>-5.8102916581499926</v>
      </c>
      <c r="BV60" s="91">
        <f t="shared" si="57"/>
        <v>1.866806102219946</v>
      </c>
      <c r="BW60" s="92">
        <f>BD29-AG29</f>
        <v>0.78114912936907643</v>
      </c>
      <c r="BX60" s="91">
        <f t="shared" si="66"/>
        <v>-47.600428608936923</v>
      </c>
      <c r="BY60" s="92">
        <f t="shared" si="60"/>
        <v>-3.35395E-2</v>
      </c>
      <c r="BZ60" s="759" t="str">
        <f t="shared" si="61"/>
        <v>OK</v>
      </c>
      <c r="CA60" s="435">
        <f t="shared" si="62"/>
        <v>0</v>
      </c>
      <c r="CB60" s="759" t="str">
        <f t="shared" si="63"/>
        <v>OK</v>
      </c>
      <c r="CC60" s="93" t="e">
        <f t="shared" si="64"/>
        <v>#VALUE!</v>
      </c>
      <c r="CD60" s="759" t="str">
        <f t="shared" si="65"/>
        <v>FORA</v>
      </c>
      <c r="CF60" s="355"/>
      <c r="CG60" s="355"/>
      <c r="CH60" s="355"/>
      <c r="CI60" s="355"/>
      <c r="CJ60" s="355"/>
      <c r="CK60" s="355"/>
      <c r="CL60" s="355"/>
      <c r="CM60" s="355"/>
      <c r="CN60" s="355"/>
      <c r="CO60" s="355"/>
      <c r="CP60" s="355"/>
      <c r="CQ60" s="355"/>
      <c r="CR60" s="355"/>
    </row>
    <row r="61" spans="1:96" ht="35.25" customHeight="1" x14ac:dyDescent="0.25">
      <c r="A61" s="264" t="s">
        <v>501</v>
      </c>
      <c r="B61" s="224"/>
      <c r="C61" s="262">
        <f>AC35</f>
        <v>0.129</v>
      </c>
      <c r="D61" s="262">
        <f>AC36</f>
        <v>0.129</v>
      </c>
      <c r="E61" s="270">
        <f>AVERAGE(AC10:AC33)</f>
        <v>0.129</v>
      </c>
      <c r="F61" s="269">
        <f>SUM(AC10:AC33)</f>
        <v>3.0960000000000001</v>
      </c>
      <c r="M61"/>
      <c r="N61" s="28"/>
      <c r="O61" s="142">
        <v>46130.583333333336</v>
      </c>
      <c r="P61" s="166">
        <v>0.05</v>
      </c>
      <c r="Q61" s="166">
        <v>801.5</v>
      </c>
      <c r="R61" s="170">
        <v>860.1</v>
      </c>
      <c r="S61" s="702">
        <v>795.59427594747206</v>
      </c>
      <c r="T61" s="720"/>
      <c r="U61" s="9" t="s">
        <v>612</v>
      </c>
      <c r="AC61" s="112"/>
      <c r="AD61" s="112"/>
      <c r="AE61" s="112"/>
      <c r="AF61" s="112"/>
      <c r="AG61" s="112"/>
      <c r="AH61" s="112"/>
      <c r="AI61" s="112"/>
      <c r="AJ61" s="112"/>
      <c r="AK61" s="31"/>
      <c r="AL61" s="371"/>
      <c r="AM61" s="371"/>
      <c r="AN61" s="355"/>
      <c r="AO61" s="355"/>
      <c r="AP61" s="355"/>
      <c r="AQ61" s="355"/>
      <c r="AR61" s="355"/>
      <c r="AS61" s="355"/>
      <c r="AT61" s="355"/>
      <c r="AU61" s="355"/>
      <c r="AV61" s="355"/>
      <c r="AW61" s="355"/>
      <c r="AX61" s="355"/>
      <c r="AY61" s="355"/>
      <c r="AZ61" s="355"/>
      <c r="BA61" s="355"/>
      <c r="BB61" s="355"/>
      <c r="BC61" s="355"/>
      <c r="BD61" s="355"/>
      <c r="BE61" s="355"/>
      <c r="BF61" s="355"/>
      <c r="BG61" s="355"/>
      <c r="BH61" s="355"/>
      <c r="BI61" s="355"/>
      <c r="BJ61" s="355"/>
      <c r="BK61" s="370"/>
      <c r="BL61" s="370"/>
      <c r="BM61" s="370"/>
      <c r="BN61" s="370"/>
      <c r="BO61" s="370"/>
      <c r="BP61" s="370"/>
      <c r="BQ61" s="370"/>
      <c r="BR61" s="370"/>
      <c r="BS61" s="370"/>
      <c r="BT61" s="91">
        <f t="shared" si="55"/>
        <v>-5.8642241176101697</v>
      </c>
      <c r="BU61" s="92">
        <f t="shared" si="56"/>
        <v>-6.8800236333499925</v>
      </c>
      <c r="BV61" s="91">
        <f t="shared" si="57"/>
        <v>1.0927084013482937</v>
      </c>
      <c r="BW61" s="92">
        <f t="shared" si="58"/>
        <v>0.45353446209178827</v>
      </c>
      <c r="BX61" s="91">
        <f t="shared" si="66"/>
        <v>-47.470452218857588</v>
      </c>
      <c r="BY61" s="92">
        <f t="shared" si="60"/>
        <v>-3.3155499999999991E-2</v>
      </c>
      <c r="BZ61" s="759" t="str">
        <f t="shared" si="61"/>
        <v>OK</v>
      </c>
      <c r="CA61" s="435">
        <f t="shared" si="62"/>
        <v>0</v>
      </c>
      <c r="CB61" s="759" t="str">
        <f t="shared" si="63"/>
        <v>OK</v>
      </c>
      <c r="CC61" s="93" t="e">
        <f t="shared" si="64"/>
        <v>#VALUE!</v>
      </c>
      <c r="CD61" s="759" t="str">
        <f t="shared" si="65"/>
        <v>FORA</v>
      </c>
      <c r="CF61" s="355"/>
      <c r="CG61" s="355"/>
      <c r="CH61" s="355"/>
      <c r="CI61" s="355"/>
      <c r="CJ61" s="355"/>
      <c r="CK61" s="355"/>
      <c r="CL61" s="355"/>
      <c r="CM61" s="355"/>
      <c r="CN61" s="355"/>
      <c r="CO61" s="355"/>
      <c r="CP61" s="355"/>
      <c r="CQ61" s="355"/>
      <c r="CR61" s="355"/>
    </row>
    <row r="62" spans="1:96" ht="35.25" customHeight="1" x14ac:dyDescent="0.25">
      <c r="A62" s="264" t="s">
        <v>506</v>
      </c>
      <c r="B62" s="225"/>
      <c r="C62" s="262">
        <f>AF35</f>
        <v>124.119</v>
      </c>
      <c r="D62" s="262">
        <f>AF36</f>
        <v>124.27</v>
      </c>
      <c r="E62" s="270">
        <f>AVERAGE(AF10:AF33)</f>
        <v>124.17554166666666</v>
      </c>
      <c r="F62" s="269">
        <f>SUM(AF10:AF33)</f>
        <v>2980.2129999999997</v>
      </c>
      <c r="M62" s="404"/>
      <c r="N62" s="28"/>
      <c r="O62" s="142">
        <v>46130.625</v>
      </c>
      <c r="P62" s="166">
        <v>0.05</v>
      </c>
      <c r="Q62" s="166">
        <v>801.5</v>
      </c>
      <c r="R62" s="170">
        <v>860.1</v>
      </c>
      <c r="S62" s="702">
        <v>795.59427594747206</v>
      </c>
      <c r="T62" s="720"/>
      <c r="U62" s="34"/>
      <c r="AC62" s="72"/>
      <c r="AD62" s="72"/>
      <c r="AE62" s="72"/>
      <c r="AF62" s="72"/>
      <c r="AG62" s="72"/>
      <c r="AH62" s="72"/>
      <c r="AI62" s="72"/>
      <c r="AJ62" s="72"/>
      <c r="AK62" s="30"/>
      <c r="AL62" s="374"/>
      <c r="AM62" s="374"/>
      <c r="AN62" s="355"/>
      <c r="AO62" s="372"/>
      <c r="AP62" s="355"/>
      <c r="AQ62" s="355"/>
      <c r="AR62" s="355"/>
      <c r="AS62" s="355"/>
      <c r="AT62" s="355"/>
      <c r="AU62" s="355"/>
      <c r="AV62" s="355"/>
      <c r="AW62" s="355"/>
      <c r="AX62" s="355"/>
      <c r="AY62" s="355"/>
      <c r="AZ62" s="355"/>
      <c r="BA62" s="355"/>
      <c r="BB62" s="355"/>
      <c r="BC62" s="355"/>
      <c r="BD62" s="355"/>
      <c r="BE62" s="355"/>
      <c r="BF62" s="355"/>
      <c r="BG62" s="355"/>
      <c r="BH62" s="355"/>
      <c r="BI62" s="355"/>
      <c r="BJ62" s="355"/>
      <c r="BK62" s="370"/>
      <c r="BL62" s="370"/>
      <c r="BM62" s="370"/>
      <c r="BN62" s="370"/>
      <c r="BO62" s="370"/>
      <c r="BP62" s="370"/>
      <c r="BQ62" s="370"/>
      <c r="BR62" s="370"/>
      <c r="BS62" s="370"/>
      <c r="BT62" s="91">
        <f t="shared" si="55"/>
        <v>-5.5947116910110859</v>
      </c>
      <c r="BU62" s="92">
        <f t="shared" si="56"/>
        <v>-6.5803674395499598</v>
      </c>
      <c r="BV62" s="91">
        <f t="shared" si="57"/>
        <v>1.3164990498477416</v>
      </c>
      <c r="BW62" s="92">
        <f t="shared" si="58"/>
        <v>0.54752571081911583</v>
      </c>
      <c r="BX62" s="91">
        <f t="shared" si="66"/>
        <v>-635.79312069150251</v>
      </c>
      <c r="BY62" s="92">
        <f t="shared" si="60"/>
        <v>-8.9001499999999997E-2</v>
      </c>
      <c r="BZ62" s="759" t="str">
        <f t="shared" si="61"/>
        <v>OK</v>
      </c>
      <c r="CA62" s="435">
        <f t="shared" si="62"/>
        <v>0</v>
      </c>
      <c r="CB62" s="759" t="str">
        <f t="shared" si="63"/>
        <v>OK</v>
      </c>
      <c r="CC62" s="93">
        <f t="shared" si="64"/>
        <v>0</v>
      </c>
      <c r="CD62" s="759" t="str">
        <f t="shared" si="65"/>
        <v>FORA</v>
      </c>
      <c r="CF62" s="355"/>
      <c r="CG62" s="355"/>
      <c r="CH62" s="355"/>
      <c r="CI62" s="355"/>
      <c r="CJ62" s="355"/>
      <c r="CK62" s="355"/>
      <c r="CL62" s="355"/>
      <c r="CM62" s="355"/>
      <c r="CN62" s="355"/>
      <c r="CO62" s="355"/>
      <c r="CP62" s="355"/>
      <c r="CQ62" s="355"/>
      <c r="CR62" s="355"/>
    </row>
    <row r="63" spans="1:96" ht="35.25" customHeight="1" x14ac:dyDescent="0.25">
      <c r="A63" s="264" t="s">
        <v>508</v>
      </c>
      <c r="B63" s="225"/>
      <c r="C63" s="262">
        <f>AG35</f>
        <v>41.036999999999999</v>
      </c>
      <c r="D63" s="262">
        <f>AG36</f>
        <v>41.106000000000002</v>
      </c>
      <c r="E63" s="270">
        <f>AVERAGE(AH10:AH33)</f>
        <v>0.10354166666666674</v>
      </c>
      <c r="F63" s="269">
        <f>SUM(AG10:AG33)</f>
        <v>985.61899999999991</v>
      </c>
      <c r="L63" s="28"/>
      <c r="M63" s="28"/>
      <c r="N63" s="28"/>
      <c r="O63" s="142">
        <v>46130.666666666664</v>
      </c>
      <c r="P63" s="166">
        <v>0.05</v>
      </c>
      <c r="Q63" s="166">
        <v>801.5</v>
      </c>
      <c r="R63" s="170">
        <v>860.1</v>
      </c>
      <c r="S63" s="702">
        <v>795.59427594747206</v>
      </c>
      <c r="T63" s="720"/>
      <c r="U63" s="34"/>
      <c r="AC63" s="72"/>
      <c r="AD63" s="72"/>
      <c r="AE63" s="72"/>
      <c r="AF63" s="72"/>
      <c r="AG63" s="72"/>
      <c r="AH63" s="72"/>
      <c r="AI63" s="72"/>
      <c r="AJ63" s="72"/>
      <c r="AK63" s="114"/>
      <c r="AL63" s="374"/>
      <c r="AM63" s="374"/>
      <c r="AN63" s="376"/>
      <c r="AO63" s="377"/>
      <c r="AP63" s="355"/>
      <c r="AQ63" s="355"/>
      <c r="AR63" s="355"/>
      <c r="AS63" s="355"/>
      <c r="AT63" s="355"/>
      <c r="AU63" s="355"/>
      <c r="AV63" s="355"/>
      <c r="AW63" s="355"/>
      <c r="AX63" s="355"/>
      <c r="AY63" s="355"/>
      <c r="AZ63" s="355"/>
      <c r="BA63" s="355"/>
      <c r="BB63" s="355"/>
      <c r="BC63" s="355"/>
      <c r="BD63" s="355"/>
      <c r="BE63" s="355"/>
      <c r="BF63" s="355"/>
      <c r="BG63" s="355"/>
      <c r="BH63" s="355"/>
      <c r="BI63" s="355"/>
      <c r="BJ63" s="355"/>
      <c r="BK63" s="370"/>
      <c r="BL63" s="370"/>
      <c r="BM63" s="370"/>
      <c r="BN63" s="370"/>
      <c r="BO63" s="370"/>
      <c r="BP63" s="370"/>
      <c r="BQ63" s="370"/>
      <c r="BR63" s="370"/>
      <c r="BS63" s="370"/>
      <c r="BT63" s="91">
        <f t="shared" si="55"/>
        <v>-5.8427061991690792</v>
      </c>
      <c r="BU63" s="92">
        <f t="shared" si="56"/>
        <v>-6.8568343902499862</v>
      </c>
      <c r="BV63" s="91">
        <f t="shared" si="57"/>
        <v>0.89283240710357392</v>
      </c>
      <c r="BW63" s="92">
        <f t="shared" si="58"/>
        <v>0.36969236817272844</v>
      </c>
      <c r="BX63" s="91">
        <f t="shared" si="66"/>
        <v>-637.42616788974385</v>
      </c>
      <c r="BY63" s="92">
        <f t="shared" si="60"/>
        <v>-8.9032499999999987E-2</v>
      </c>
      <c r="BZ63" s="759" t="str">
        <f t="shared" si="61"/>
        <v>OK</v>
      </c>
      <c r="CA63" s="435">
        <f t="shared" si="62"/>
        <v>0</v>
      </c>
      <c r="CB63" s="759" t="str">
        <f t="shared" si="63"/>
        <v>OK</v>
      </c>
      <c r="CC63" s="93">
        <f t="shared" si="64"/>
        <v>0</v>
      </c>
      <c r="CD63" s="759" t="str">
        <f t="shared" si="65"/>
        <v>FORA</v>
      </c>
      <c r="CF63" s="355"/>
      <c r="CG63" s="355"/>
      <c r="CH63" s="355"/>
      <c r="CI63" s="355"/>
      <c r="CJ63" s="355"/>
      <c r="CK63" s="355"/>
      <c r="CL63" s="355"/>
      <c r="CM63" s="355"/>
      <c r="CN63" s="355"/>
      <c r="CO63" s="355"/>
      <c r="CP63" s="355"/>
      <c r="CQ63" s="355"/>
      <c r="CR63" s="355"/>
    </row>
    <row r="64" spans="1:96" ht="35.25" customHeight="1" thickBot="1" x14ac:dyDescent="0.3">
      <c r="A64" s="265" t="s">
        <v>509</v>
      </c>
      <c r="B64" s="271"/>
      <c r="C64" s="272">
        <f>AH35</f>
        <v>0.10299999999999999</v>
      </c>
      <c r="D64" s="272">
        <f>AH36</f>
        <v>0.104</v>
      </c>
      <c r="E64" s="273">
        <f>AVERAGE(AH10:AH33)</f>
        <v>0.10354166666666674</v>
      </c>
      <c r="F64" s="269">
        <f>SUM(AH10:AH33)</f>
        <v>2.4850000000000017</v>
      </c>
      <c r="K64" s="149"/>
      <c r="O64" s="142">
        <v>46130.708333333336</v>
      </c>
      <c r="P64" s="166">
        <v>0.05</v>
      </c>
      <c r="Q64" s="171">
        <v>801.4</v>
      </c>
      <c r="R64" s="170">
        <v>860.1</v>
      </c>
      <c r="S64" s="702">
        <v>795.59427594747206</v>
      </c>
      <c r="T64" s="720"/>
      <c r="U64" s="34"/>
      <c r="AC64" s="72"/>
      <c r="AD64" s="72"/>
      <c r="AE64" s="72"/>
      <c r="AF64" s="72"/>
      <c r="AG64" s="72"/>
      <c r="AH64" s="72"/>
      <c r="AI64" s="72"/>
      <c r="AJ64" s="72"/>
      <c r="AK64" s="115"/>
      <c r="AL64" s="374"/>
      <c r="AM64" s="374"/>
      <c r="AN64" s="364"/>
      <c r="AO64" s="363"/>
      <c r="AP64" s="355"/>
      <c r="AQ64" s="355"/>
      <c r="AR64" s="355"/>
      <c r="AS64" s="355"/>
      <c r="AT64" s="355"/>
      <c r="AU64" s="355"/>
      <c r="AV64" s="355"/>
      <c r="AW64" s="355"/>
      <c r="AX64" s="355"/>
      <c r="AY64" s="355"/>
      <c r="AZ64" s="355"/>
      <c r="BA64" s="355"/>
      <c r="BB64" s="355"/>
      <c r="BC64" s="355"/>
      <c r="BD64" s="355"/>
      <c r="BE64" s="355"/>
      <c r="BF64" s="355"/>
      <c r="BG64" s="355"/>
      <c r="BH64" s="355"/>
      <c r="BI64" s="355"/>
      <c r="BJ64" s="355"/>
      <c r="BK64" s="370"/>
      <c r="BL64" s="370"/>
      <c r="BM64" s="370"/>
      <c r="BN64" s="370"/>
      <c r="BO64" s="370"/>
      <c r="BP64" s="370"/>
      <c r="BQ64" s="370"/>
      <c r="BR64" s="370"/>
      <c r="BS64" s="370"/>
      <c r="BT64" s="91">
        <f t="shared" si="55"/>
        <v>-5.6721552538061646</v>
      </c>
      <c r="BU64" s="92">
        <f t="shared" si="56"/>
        <v>-6.6651161635600005</v>
      </c>
      <c r="BV64" s="91">
        <f t="shared" si="57"/>
        <v>1.0612183268369366</v>
      </c>
      <c r="BW64" s="92">
        <f>BD33-AG33</f>
        <v>0.44030269607082317</v>
      </c>
      <c r="BX64" s="91">
        <f t="shared" si="66"/>
        <v>-636.49286388467794</v>
      </c>
      <c r="BY64" s="92">
        <f>BG33-AH33</f>
        <v>-8.9014799999999991E-2</v>
      </c>
      <c r="BZ64" s="759" t="str">
        <f t="shared" si="61"/>
        <v>OK</v>
      </c>
      <c r="CA64" s="760">
        <f t="shared" si="62"/>
        <v>0</v>
      </c>
      <c r="CB64" s="759" t="str">
        <f t="shared" si="63"/>
        <v>OK</v>
      </c>
      <c r="CC64" s="229">
        <f t="shared" si="64"/>
        <v>0</v>
      </c>
      <c r="CD64" s="759" t="str">
        <f t="shared" si="65"/>
        <v>FORA</v>
      </c>
      <c r="CF64" s="355"/>
      <c r="CG64" s="355"/>
      <c r="CH64" s="355"/>
      <c r="CI64" s="355"/>
      <c r="CJ64" s="355"/>
      <c r="CK64" s="355"/>
      <c r="CL64" s="355"/>
      <c r="CM64" s="355"/>
      <c r="CN64" s="355"/>
      <c r="CO64" s="355"/>
      <c r="CP64" s="355"/>
      <c r="CQ64" s="355"/>
      <c r="CR64" s="355"/>
    </row>
    <row r="65" spans="1:96" ht="35.25" customHeight="1" x14ac:dyDescent="0.25">
      <c r="A65" s="255" t="s">
        <v>510</v>
      </c>
      <c r="B65" s="263"/>
      <c r="C65" s="276">
        <f>V35*100</f>
        <v>61046</v>
      </c>
      <c r="D65" s="276">
        <f>V36*100</f>
        <v>61121</v>
      </c>
      <c r="E65" s="277">
        <f>V34*100</f>
        <v>61084.708333333321</v>
      </c>
      <c r="F65" s="321" t="s">
        <v>511</v>
      </c>
      <c r="G65" s="260"/>
      <c r="O65" s="142">
        <v>46130.75</v>
      </c>
      <c r="P65" s="166">
        <v>0.05</v>
      </c>
      <c r="Q65" s="166">
        <v>801.4</v>
      </c>
      <c r="R65" s="170">
        <v>860.1</v>
      </c>
      <c r="S65" s="702">
        <v>795.59427594747206</v>
      </c>
      <c r="T65" s="720"/>
      <c r="U65" s="34"/>
      <c r="AC65" s="72"/>
      <c r="AD65" s="72"/>
      <c r="AE65" s="72"/>
      <c r="AF65" s="72"/>
      <c r="AG65" s="72"/>
      <c r="AH65" s="72"/>
      <c r="AJ65" s="72"/>
      <c r="AK65" s="115"/>
      <c r="AL65" s="374"/>
      <c r="AM65" s="374"/>
      <c r="AN65" s="364"/>
      <c r="AO65" s="363"/>
      <c r="AP65" s="355"/>
      <c r="AQ65" s="355"/>
      <c r="AR65" s="355"/>
      <c r="AS65" s="355"/>
      <c r="AT65" s="355"/>
      <c r="AU65" s="355"/>
      <c r="AV65" s="355"/>
      <c r="AW65" s="355"/>
      <c r="AX65" s="355"/>
      <c r="AY65" s="355"/>
      <c r="AZ65" s="355"/>
      <c r="BA65" s="355"/>
      <c r="BB65" s="355"/>
      <c r="BC65" s="355"/>
      <c r="BD65" s="355"/>
      <c r="BE65" s="355"/>
      <c r="BF65" s="355"/>
      <c r="BG65" s="355"/>
      <c r="BH65" s="355"/>
      <c r="BI65" s="355"/>
      <c r="BJ65" s="355"/>
      <c r="BK65" s="370"/>
      <c r="BL65" s="370"/>
      <c r="BM65" s="370"/>
      <c r="BN65" s="370"/>
      <c r="BO65" s="370"/>
      <c r="BP65" s="370"/>
      <c r="BQ65" s="370"/>
      <c r="BR65" s="370"/>
      <c r="BS65" s="370"/>
      <c r="BT65" s="751" t="str">
        <f>IF(AL65=0,"",(AF65/AL65-1))</f>
        <v/>
      </c>
      <c r="BU65" s="902">
        <f>AL65-AF65</f>
        <v>0</v>
      </c>
      <c r="BV65" s="902"/>
      <c r="BW65" s="902"/>
      <c r="BX65" s="903" t="str">
        <f>IF(BG65=0,"",(AH65/BG65-1))</f>
        <v/>
      </c>
      <c r="BY65" s="902">
        <f>BG65-AH65</f>
        <v>0</v>
      </c>
      <c r="BZ65" s="902"/>
      <c r="CA65" s="371"/>
      <c r="CB65" s="355"/>
      <c r="CC65" s="355"/>
      <c r="CD65" s="355"/>
      <c r="CE65" s="355"/>
      <c r="CF65" s="355"/>
      <c r="CG65" s="355"/>
      <c r="CH65" s="355"/>
      <c r="CI65" s="355"/>
      <c r="CJ65" s="355"/>
      <c r="CK65" s="355"/>
      <c r="CL65" s="355"/>
      <c r="CM65" s="355"/>
      <c r="CN65" s="355"/>
      <c r="CO65" s="355"/>
      <c r="CP65" s="355"/>
      <c r="CQ65" s="355"/>
      <c r="CR65" s="355"/>
    </row>
    <row r="66" spans="1:96" ht="35.25" customHeight="1" x14ac:dyDescent="0.25">
      <c r="A66" s="264" t="s">
        <v>513</v>
      </c>
      <c r="B66" s="158"/>
      <c r="C66" s="278">
        <f>W35</f>
        <v>75.8</v>
      </c>
      <c r="D66" s="278">
        <f>W36</f>
        <v>76.790000000000006</v>
      </c>
      <c r="E66" s="279">
        <f>W34</f>
        <v>76.377083333333346</v>
      </c>
      <c r="F66" s="280"/>
      <c r="G66"/>
      <c r="O66" s="142">
        <v>46130.791666666664</v>
      </c>
      <c r="P66" s="166">
        <v>0.05</v>
      </c>
      <c r="Q66" s="166">
        <v>801.4</v>
      </c>
      <c r="R66" s="170">
        <v>860.1</v>
      </c>
      <c r="S66" s="702">
        <v>795.59427594747206</v>
      </c>
      <c r="T66" s="720"/>
      <c r="U66" s="34"/>
      <c r="AC66" s="72"/>
      <c r="AD66" s="72"/>
      <c r="AE66" s="72"/>
      <c r="AF66" s="72"/>
      <c r="AG66" s="72"/>
      <c r="AH66" s="72"/>
      <c r="AI66" s="72"/>
      <c r="AK66" s="115"/>
      <c r="AL66" s="374"/>
      <c r="AM66" s="374"/>
      <c r="AN66" s="364"/>
      <c r="AO66" s="363"/>
      <c r="AP66" s="355"/>
      <c r="AQ66" s="355"/>
      <c r="AR66" s="355"/>
      <c r="AS66" s="355"/>
      <c r="AT66" s="355"/>
      <c r="AU66" s="355"/>
      <c r="AV66" s="355"/>
      <c r="AW66" s="355"/>
      <c r="AX66" s="355"/>
      <c r="AY66" s="355"/>
      <c r="AZ66" s="355"/>
      <c r="BA66" s="355"/>
      <c r="BB66" s="355"/>
      <c r="BC66" s="355"/>
      <c r="BD66" s="355"/>
      <c r="BE66" s="355"/>
      <c r="BF66" s="355"/>
      <c r="BG66" s="355"/>
      <c r="BH66" s="355"/>
      <c r="BI66" s="355"/>
      <c r="BJ66" s="355"/>
      <c r="BK66" s="378"/>
      <c r="BL66" s="378"/>
      <c r="BM66" s="378"/>
      <c r="BN66" s="378"/>
      <c r="BO66" s="378"/>
      <c r="BP66" s="378"/>
      <c r="BQ66" s="378"/>
      <c r="BR66" s="378"/>
      <c r="BS66" s="378"/>
      <c r="BT66" s="753" t="str">
        <f>IF(AL66=0,"",(AF66/AL66-1))</f>
        <v/>
      </c>
      <c r="BU66" s="902">
        <f>AL66-AF66</f>
        <v>0</v>
      </c>
      <c r="BV66" s="902"/>
      <c r="BW66" s="902"/>
      <c r="BX66" s="903" t="str">
        <f>IF(BG66=0,"",(AH66/BG66-1))</f>
        <v/>
      </c>
      <c r="BY66" s="902">
        <f>BG66-AH66</f>
        <v>0</v>
      </c>
      <c r="BZ66" s="902"/>
      <c r="CA66" s="355"/>
      <c r="CB66" s="355"/>
      <c r="CC66" s="355"/>
      <c r="CD66" s="355"/>
      <c r="CE66" s="355"/>
      <c r="CF66" s="355"/>
      <c r="CG66" s="355"/>
      <c r="CH66" s="355"/>
      <c r="CI66" s="355"/>
      <c r="CJ66" s="355"/>
      <c r="CK66" s="355"/>
      <c r="CL66" s="355"/>
      <c r="CM66" s="355"/>
      <c r="CN66" s="355"/>
      <c r="CO66" s="355"/>
      <c r="CP66" s="355"/>
      <c r="CQ66" s="355"/>
      <c r="CR66" s="355"/>
    </row>
    <row r="67" spans="1:96" ht="35.25" customHeight="1" x14ac:dyDescent="0.25">
      <c r="A67" s="264" t="s">
        <v>75</v>
      </c>
      <c r="B67" s="158"/>
      <c r="C67" s="278">
        <f>D35/10</f>
        <v>45.27652909680004</v>
      </c>
      <c r="D67" s="278">
        <f>D36/10</f>
        <v>45.410895394185161</v>
      </c>
      <c r="E67" s="279">
        <f>D34/10</f>
        <v>45.336188303012833</v>
      </c>
      <c r="F67" s="322" t="s">
        <v>514</v>
      </c>
      <c r="G67" s="72"/>
      <c r="L67" s="72"/>
      <c r="M67" s="72"/>
      <c r="N67" s="72"/>
      <c r="O67" s="142">
        <v>46130.833333333336</v>
      </c>
      <c r="P67" s="166">
        <v>0.05</v>
      </c>
      <c r="Q67" s="166">
        <v>801.4</v>
      </c>
      <c r="R67" s="170">
        <v>860.1</v>
      </c>
      <c r="S67" s="702">
        <v>795.59427594747206</v>
      </c>
      <c r="T67" s="720"/>
      <c r="U67" s="718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5"/>
      <c r="AL67" s="371"/>
      <c r="AM67" s="371"/>
      <c r="AN67" s="364"/>
      <c r="AO67" s="363"/>
      <c r="AP67" s="355"/>
      <c r="AQ67" s="355"/>
      <c r="AR67" s="355"/>
      <c r="AS67" s="355"/>
      <c r="AT67" s="355"/>
      <c r="AU67" s="355"/>
      <c r="AV67" s="355"/>
      <c r="AW67" s="355"/>
      <c r="AX67" s="355"/>
      <c r="AY67" s="355"/>
      <c r="AZ67" s="355"/>
      <c r="BA67" s="355"/>
      <c r="BB67" s="355"/>
      <c r="BC67" s="355"/>
      <c r="BD67" s="355"/>
      <c r="BE67" s="355"/>
      <c r="BF67" s="355"/>
      <c r="BG67" s="355"/>
      <c r="BH67" s="379"/>
      <c r="BI67" s="379"/>
      <c r="BJ67" s="379"/>
      <c r="BK67" s="378"/>
      <c r="BL67" s="378"/>
      <c r="BM67" s="378"/>
      <c r="BN67" s="378"/>
      <c r="BO67" s="378"/>
      <c r="BP67" s="378"/>
      <c r="BQ67" s="378"/>
      <c r="BR67" s="378"/>
      <c r="BS67" s="378"/>
      <c r="BT67" s="753" t="str">
        <f>IF(AL67=0,"",(AF67/AL67-1))</f>
        <v/>
      </c>
      <c r="BU67" s="902">
        <f>AL67-AF67</f>
        <v>0</v>
      </c>
      <c r="BV67" s="902"/>
      <c r="BW67" s="902"/>
      <c r="BX67" s="903" t="str">
        <f>IF(BG67=0,"",(AH67/BG67-1))</f>
        <v/>
      </c>
      <c r="BY67" s="902">
        <f>BG67-AH67</f>
        <v>0</v>
      </c>
      <c r="BZ67" s="902"/>
      <c r="CA67" s="355"/>
      <c r="CB67" s="355"/>
      <c r="CC67" s="355"/>
      <c r="CD67" s="355"/>
      <c r="CE67" s="355"/>
      <c r="CF67" s="355"/>
      <c r="CG67" s="355"/>
      <c r="CH67" s="355"/>
      <c r="CI67" s="355"/>
      <c r="CJ67" s="355"/>
      <c r="CK67" s="355"/>
      <c r="CL67" s="355"/>
      <c r="CM67" s="355"/>
      <c r="CN67" s="355"/>
      <c r="CO67" s="355"/>
      <c r="CP67" s="355"/>
      <c r="CQ67" s="355"/>
      <c r="CR67" s="355"/>
    </row>
    <row r="68" spans="1:96" ht="35.25" customHeight="1" x14ac:dyDescent="0.3">
      <c r="A68" s="264" t="s">
        <v>76</v>
      </c>
      <c r="B68" s="158"/>
      <c r="C68" s="278">
        <f>G35</f>
        <v>6.5746028288458067</v>
      </c>
      <c r="D68" s="278">
        <f>G36</f>
        <v>6.5859828957104041</v>
      </c>
      <c r="E68" s="279">
        <f>G34</f>
        <v>6.5799653898477155</v>
      </c>
      <c r="F68" s="280"/>
      <c r="K68" s="112"/>
      <c r="L68" s="112"/>
      <c r="M68" s="112"/>
      <c r="N68" s="112"/>
      <c r="O68" s="142">
        <v>46130.875</v>
      </c>
      <c r="P68" s="166">
        <v>0.05</v>
      </c>
      <c r="Q68" s="166">
        <v>801.4</v>
      </c>
      <c r="R68" s="170">
        <v>860.1</v>
      </c>
      <c r="S68" s="702">
        <v>795.59427594747206</v>
      </c>
      <c r="T68" s="720"/>
      <c r="U68" s="718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31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75"/>
      <c r="BI68" s="375"/>
      <c r="BJ68" s="375"/>
      <c r="BK68" s="378"/>
      <c r="BL68" s="378"/>
      <c r="BM68" s="378"/>
      <c r="BN68" s="378"/>
      <c r="BO68" s="378"/>
      <c r="BP68" s="378"/>
      <c r="BQ68" s="378"/>
      <c r="BR68" s="378"/>
      <c r="BS68" s="378"/>
      <c r="BT68" s="753" t="str">
        <f>IF(AL68=0,"",(AF68/AL68-1))</f>
        <v/>
      </c>
      <c r="BU68" s="902">
        <f>AL68-AF68</f>
        <v>0</v>
      </c>
      <c r="BV68" s="902"/>
      <c r="BW68" s="902"/>
      <c r="BX68" s="903" t="str">
        <f>IF(BG68=0,"",(AH68/BG68-1))</f>
        <v/>
      </c>
      <c r="BY68" s="902">
        <f>BG68-AH68</f>
        <v>0</v>
      </c>
      <c r="BZ68" s="902"/>
      <c r="CA68" s="355"/>
      <c r="CB68" s="355"/>
      <c r="CC68" s="355"/>
      <c r="CD68" s="355"/>
      <c r="CE68" s="355"/>
      <c r="CF68" s="355"/>
      <c r="CG68" s="355"/>
      <c r="CH68" s="355"/>
      <c r="CI68" s="355"/>
      <c r="CJ68" s="355"/>
      <c r="CK68" s="355"/>
      <c r="CL68" s="355"/>
      <c r="CM68" s="355"/>
      <c r="CN68" s="355"/>
      <c r="CO68" s="355"/>
      <c r="CP68" s="355"/>
      <c r="CQ68" s="355"/>
      <c r="CR68" s="355"/>
    </row>
    <row r="69" spans="1:96" ht="35.25" customHeight="1" thickBot="1" x14ac:dyDescent="0.35">
      <c r="A69" s="265" t="s">
        <v>77</v>
      </c>
      <c r="B69" s="266"/>
      <c r="C69" s="267" t="s">
        <v>12</v>
      </c>
      <c r="D69" s="267" t="s">
        <v>12</v>
      </c>
      <c r="E69" s="268" t="s">
        <v>12</v>
      </c>
      <c r="F69" s="280"/>
      <c r="G69" s="112"/>
      <c r="K69" s="112"/>
      <c r="L69" s="112"/>
      <c r="M69" s="112"/>
      <c r="N69" s="112"/>
      <c r="O69" s="142">
        <v>46130.916666666664</v>
      </c>
      <c r="P69" s="166">
        <v>0.05</v>
      </c>
      <c r="Q69" s="166">
        <v>801.4</v>
      </c>
      <c r="R69" s="170">
        <v>860.1</v>
      </c>
      <c r="S69" s="702">
        <v>795.59427594747206</v>
      </c>
      <c r="T69" s="720"/>
      <c r="U69" s="718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31"/>
      <c r="AL69" s="371"/>
      <c r="AM69" s="371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75"/>
      <c r="BI69" s="375"/>
      <c r="BJ69" s="375"/>
      <c r="BK69" s="378"/>
      <c r="BL69" s="378"/>
      <c r="BM69" s="378"/>
      <c r="BN69" s="378"/>
      <c r="BO69" s="378"/>
      <c r="BP69" s="378"/>
      <c r="BQ69" s="378"/>
      <c r="BR69" s="378"/>
      <c r="BS69" s="378"/>
      <c r="BT69" s="753" t="str">
        <f>IF(AL69=0,"",(AF69/AL69-1))</f>
        <v/>
      </c>
      <c r="BU69" s="902">
        <f>AL69-AF69</f>
        <v>0</v>
      </c>
      <c r="BV69" s="902"/>
      <c r="BW69" s="902"/>
      <c r="BX69" s="903" t="str">
        <f>IF(BG69=0,"",(AH69/BG69-1))</f>
        <v/>
      </c>
      <c r="BY69" s="902">
        <f>BG69-AH69</f>
        <v>0</v>
      </c>
      <c r="BZ69" s="902"/>
      <c r="CA69" s="355"/>
      <c r="CB69" s="355"/>
      <c r="CC69" s="355"/>
      <c r="CD69" s="355"/>
      <c r="CE69" s="355"/>
      <c r="CF69" s="355"/>
      <c r="CG69" s="355"/>
      <c r="CH69" s="355"/>
      <c r="CI69" s="355"/>
      <c r="CJ69" s="355"/>
      <c r="CK69" s="355"/>
      <c r="CL69" s="355"/>
      <c r="CM69" s="355"/>
      <c r="CN69" s="355"/>
      <c r="CO69" s="355"/>
      <c r="CP69" s="355"/>
      <c r="CQ69" s="355"/>
      <c r="CR69" s="355"/>
    </row>
    <row r="70" spans="1:96" ht="35.25" customHeight="1" x14ac:dyDescent="0.25">
      <c r="B70" s="80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42">
        <v>46130.958333333336</v>
      </c>
      <c r="P70" s="166">
        <v>0.05</v>
      </c>
      <c r="Q70" s="166">
        <v>801.4</v>
      </c>
      <c r="R70" s="170">
        <v>860.1</v>
      </c>
      <c r="S70" s="702">
        <v>795.59427594747206</v>
      </c>
      <c r="T70" s="720"/>
      <c r="U70" s="717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72"/>
      <c r="AL70" s="355"/>
      <c r="AM70" s="355"/>
      <c r="AN70" s="355"/>
      <c r="AO70" s="355"/>
      <c r="AP70" s="355"/>
      <c r="AQ70" s="355"/>
      <c r="AR70" s="355"/>
      <c r="AS70" s="355"/>
      <c r="AT70" s="355"/>
      <c r="AU70" s="355"/>
      <c r="AV70" s="355"/>
      <c r="AW70" s="355"/>
      <c r="AX70" s="355"/>
      <c r="AY70" s="355"/>
      <c r="AZ70" s="355"/>
      <c r="BA70" s="355"/>
      <c r="BB70" s="355"/>
      <c r="BC70" s="355"/>
      <c r="BD70" s="355"/>
      <c r="BE70" s="355"/>
      <c r="BF70" s="355"/>
      <c r="BG70" s="355"/>
      <c r="BH70" s="378"/>
      <c r="BI70" s="378"/>
      <c r="BJ70" s="378"/>
      <c r="BK70" s="378"/>
      <c r="BL70" s="378"/>
      <c r="BM70" s="378"/>
      <c r="BN70" s="378"/>
      <c r="BO70" s="378"/>
      <c r="BP70" s="378"/>
      <c r="BQ70" s="378"/>
      <c r="BR70" s="378"/>
      <c r="BS70" s="378"/>
      <c r="BT70" s="753" t="str">
        <f>IF(AL70=0,"",(AF70/AL70-1))</f>
        <v/>
      </c>
      <c r="BU70" s="902">
        <f>AL70-AF70</f>
        <v>0</v>
      </c>
      <c r="BV70" s="902"/>
      <c r="BW70" s="902"/>
      <c r="BX70" s="903" t="str">
        <f>IF(BG70=0,"",(AH70/BG70-1))</f>
        <v/>
      </c>
      <c r="BY70" s="902">
        <f>BG70-AH70</f>
        <v>0</v>
      </c>
      <c r="BZ70" s="902"/>
      <c r="CA70" s="355"/>
      <c r="CB70" s="355"/>
      <c r="CC70" s="355"/>
      <c r="CD70" s="355"/>
      <c r="CE70" s="355"/>
      <c r="CF70" s="355"/>
      <c r="CG70" s="355"/>
      <c r="CH70" s="355"/>
      <c r="CI70" s="355"/>
      <c r="CJ70" s="355"/>
      <c r="CK70" s="355"/>
      <c r="CL70" s="355"/>
      <c r="CM70" s="355"/>
      <c r="CN70" s="355"/>
      <c r="CO70" s="355"/>
      <c r="CP70" s="355"/>
      <c r="CQ70" s="355"/>
      <c r="CR70" s="355"/>
    </row>
    <row r="71" spans="1:96" ht="35.25" customHeight="1" x14ac:dyDescent="0.25">
      <c r="B71" s="80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142">
        <v>46131</v>
      </c>
      <c r="P71" s="166">
        <v>0.05</v>
      </c>
      <c r="Q71" s="166">
        <v>801.4</v>
      </c>
      <c r="R71" s="170">
        <v>860.1</v>
      </c>
      <c r="S71" s="702">
        <v>795.59427594747206</v>
      </c>
      <c r="T71" s="720"/>
      <c r="U71" s="717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L71" s="355"/>
      <c r="AM71" s="355"/>
      <c r="AN71" s="355"/>
      <c r="AO71" s="355"/>
      <c r="AP71" s="355"/>
      <c r="AQ71" s="355"/>
      <c r="AR71" s="355"/>
      <c r="AS71" s="355"/>
      <c r="AT71" s="355"/>
      <c r="AU71" s="355"/>
      <c r="AV71" s="355"/>
      <c r="AW71" s="355"/>
      <c r="AX71" s="355"/>
      <c r="AY71" s="355"/>
      <c r="AZ71" s="355"/>
      <c r="BA71" s="355"/>
      <c r="BB71" s="355"/>
      <c r="BC71" s="355"/>
      <c r="BD71" s="355"/>
      <c r="BE71" s="355"/>
      <c r="BF71" s="355"/>
      <c r="BG71" s="355"/>
      <c r="BH71" s="378"/>
      <c r="BI71" s="378"/>
      <c r="BJ71" s="378"/>
      <c r="BK71" s="378"/>
      <c r="BL71" s="378"/>
      <c r="BM71" s="378"/>
      <c r="BN71" s="378"/>
      <c r="BO71" s="378"/>
      <c r="BP71" s="378"/>
      <c r="BQ71" s="378"/>
      <c r="BR71" s="378"/>
      <c r="BS71" s="378"/>
      <c r="BT71" s="753" t="str">
        <f>IF(AL71=0,"",(AF71/AL71-1))</f>
        <v/>
      </c>
      <c r="BU71" s="902">
        <f>AL71-AF71</f>
        <v>0</v>
      </c>
      <c r="BV71" s="902"/>
      <c r="BW71" s="902"/>
      <c r="BX71" s="903" t="str">
        <f>IF(BG71=0,"",(AH71/BG71-1))</f>
        <v/>
      </c>
      <c r="BY71" s="902">
        <f>BG71-AH71</f>
        <v>0</v>
      </c>
      <c r="BZ71" s="902"/>
      <c r="CA71" s="355"/>
      <c r="CB71" s="355"/>
      <c r="CC71" s="355"/>
      <c r="CD71" s="355"/>
      <c r="CE71" s="355"/>
      <c r="CF71" s="355"/>
      <c r="CG71" s="355"/>
      <c r="CH71" s="355"/>
      <c r="CI71" s="355"/>
      <c r="CJ71" s="355"/>
      <c r="CK71" s="355"/>
      <c r="CL71" s="355"/>
      <c r="CM71" s="355"/>
      <c r="CN71" s="355"/>
      <c r="CO71" s="355"/>
      <c r="CP71" s="355"/>
      <c r="CQ71" s="355"/>
      <c r="CR71" s="355"/>
    </row>
    <row r="72" spans="1:96" ht="35.25" customHeight="1" x14ac:dyDescent="0.25">
      <c r="B72" s="80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142">
        <v>46131.041666666664</v>
      </c>
      <c r="P72" s="166">
        <v>0.05</v>
      </c>
      <c r="Q72" s="166">
        <v>801.4</v>
      </c>
      <c r="R72" s="170">
        <v>860.1</v>
      </c>
      <c r="S72" s="702">
        <v>795.59427594747206</v>
      </c>
      <c r="T72" s="720"/>
      <c r="U72" s="717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L72" s="355"/>
      <c r="AM72" s="355"/>
      <c r="AN72" s="355"/>
      <c r="AO72" s="355"/>
      <c r="AP72" s="355"/>
      <c r="AQ72" s="355"/>
      <c r="AR72" s="355"/>
      <c r="AS72" s="355"/>
      <c r="AT72" s="355"/>
      <c r="AU72" s="355"/>
      <c r="AV72" s="355"/>
      <c r="AW72" s="355"/>
      <c r="AX72" s="355"/>
      <c r="AY72" s="355"/>
      <c r="AZ72" s="355"/>
      <c r="BA72" s="355"/>
      <c r="BB72" s="355"/>
      <c r="BC72" s="355"/>
      <c r="BD72" s="355"/>
      <c r="BE72" s="355"/>
      <c r="BF72" s="355"/>
      <c r="BG72" s="355"/>
      <c r="BH72" s="378"/>
      <c r="BI72" s="378"/>
      <c r="BJ72" s="378"/>
      <c r="BK72" s="378"/>
      <c r="BL72" s="378"/>
      <c r="BM72" s="378"/>
      <c r="BN72" s="378"/>
      <c r="BO72" s="378"/>
      <c r="BP72" s="378"/>
      <c r="BQ72" s="378"/>
      <c r="BR72" s="378"/>
      <c r="BS72" s="378"/>
      <c r="BT72" s="753" t="str">
        <f>IF(AL72=0,"",(AF72/AL72-1))</f>
        <v/>
      </c>
      <c r="BU72" s="902">
        <f>AL72-AF72</f>
        <v>0</v>
      </c>
      <c r="BV72" s="902"/>
      <c r="BW72" s="902"/>
      <c r="BX72" s="903" t="str">
        <f>IF(BG72=0,"",(AH72/BG72-1))</f>
        <v/>
      </c>
      <c r="BY72" s="902">
        <f>BG72-AH72</f>
        <v>0</v>
      </c>
      <c r="BZ72" s="902"/>
      <c r="CA72" s="355"/>
      <c r="CB72" s="355"/>
      <c r="CC72" s="355"/>
      <c r="CD72" s="355"/>
      <c r="CE72" s="355"/>
      <c r="CF72" s="355"/>
      <c r="CG72" s="355"/>
      <c r="CH72" s="355"/>
      <c r="CI72" s="355"/>
      <c r="CJ72" s="355"/>
      <c r="CK72" s="355"/>
      <c r="CL72" s="355"/>
      <c r="CM72" s="355"/>
      <c r="CN72" s="355"/>
      <c r="CO72" s="355"/>
      <c r="CP72" s="355"/>
      <c r="CQ72" s="355"/>
      <c r="CR72" s="355"/>
    </row>
    <row r="73" spans="1:96" ht="35.25" customHeight="1" x14ac:dyDescent="0.25">
      <c r="A73" s="80"/>
      <c r="B73" s="80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142">
        <v>46131.083333333336</v>
      </c>
      <c r="P73" s="166">
        <v>0.05</v>
      </c>
      <c r="Q73" s="166">
        <v>801.4</v>
      </c>
      <c r="R73" s="170">
        <v>860.1</v>
      </c>
      <c r="S73" s="702">
        <v>795.59427594747206</v>
      </c>
      <c r="T73" s="720"/>
      <c r="U73" s="717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L73" s="355"/>
      <c r="AM73" s="355"/>
      <c r="AN73" s="362"/>
      <c r="AO73" s="355"/>
      <c r="AP73" s="355"/>
      <c r="AQ73" s="355"/>
      <c r="AR73" s="355"/>
      <c r="AS73" s="355"/>
      <c r="AT73" s="355"/>
      <c r="AU73" s="355"/>
      <c r="AV73" s="355"/>
      <c r="AW73" s="355"/>
      <c r="AX73" s="355"/>
      <c r="AY73" s="355"/>
      <c r="AZ73" s="355"/>
      <c r="BA73" s="355"/>
      <c r="BB73" s="355"/>
      <c r="BC73" s="355"/>
      <c r="BD73" s="355"/>
      <c r="BE73" s="355"/>
      <c r="BF73" s="355"/>
      <c r="BG73" s="355"/>
      <c r="BH73" s="378"/>
      <c r="BI73" s="378"/>
      <c r="BJ73" s="378"/>
      <c r="BK73" s="378"/>
      <c r="BL73" s="378"/>
      <c r="BM73" s="378"/>
      <c r="BN73" s="378"/>
      <c r="BO73" s="378"/>
      <c r="BP73" s="378"/>
      <c r="BQ73" s="378"/>
      <c r="BR73" s="378"/>
      <c r="BS73" s="378"/>
      <c r="BT73" s="753" t="str">
        <f>IF(AL73=0,"",(AF73/AL73-1))</f>
        <v/>
      </c>
      <c r="BU73" s="902">
        <f>AL73-AF73</f>
        <v>0</v>
      </c>
      <c r="BV73" s="902"/>
      <c r="BW73" s="902"/>
      <c r="BX73" s="903" t="str">
        <f>IF(BG73=0,"",(AH73/BG73-1))</f>
        <v/>
      </c>
      <c r="BY73" s="902">
        <f>BG73-AH73</f>
        <v>0</v>
      </c>
      <c r="BZ73" s="902"/>
      <c r="CA73" s="355"/>
      <c r="CB73" s="355"/>
      <c r="CC73" s="355"/>
      <c r="CD73" s="355"/>
      <c r="CE73" s="355"/>
      <c r="CF73" s="355"/>
      <c r="CG73" s="355"/>
      <c r="CH73" s="355"/>
      <c r="CI73" s="355"/>
      <c r="CJ73" s="355"/>
      <c r="CK73" s="355"/>
      <c r="CL73" s="355"/>
      <c r="CM73" s="355"/>
      <c r="CN73" s="355"/>
      <c r="CO73" s="355"/>
      <c r="CP73" s="355"/>
      <c r="CQ73" s="355"/>
      <c r="CR73" s="355"/>
    </row>
    <row r="74" spans="1:96" ht="35.25" customHeight="1" x14ac:dyDescent="0.25">
      <c r="A74" s="80"/>
      <c r="B74" s="80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142">
        <v>46131.125</v>
      </c>
      <c r="P74" s="166">
        <v>0.05</v>
      </c>
      <c r="Q74" s="166">
        <v>801.4</v>
      </c>
      <c r="R74" s="170">
        <v>859.1</v>
      </c>
      <c r="S74" s="702">
        <v>795.59427594747206</v>
      </c>
      <c r="T74" s="720"/>
      <c r="U74" s="717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L74" s="355"/>
      <c r="AM74" s="355"/>
      <c r="AN74" s="362"/>
      <c r="AO74" s="355"/>
      <c r="AP74" s="355"/>
      <c r="AQ74" s="355"/>
      <c r="AR74" s="355"/>
      <c r="AS74" s="355"/>
      <c r="AT74" s="355"/>
      <c r="AU74" s="355"/>
      <c r="AV74" s="355"/>
      <c r="AW74" s="355"/>
      <c r="AX74" s="355"/>
      <c r="AY74" s="355"/>
      <c r="AZ74" s="355"/>
      <c r="BA74" s="355"/>
      <c r="BB74" s="355"/>
      <c r="BC74" s="355"/>
      <c r="BD74" s="355"/>
      <c r="BE74" s="355"/>
      <c r="BF74" s="355"/>
      <c r="BG74" s="355"/>
      <c r="BH74" s="378"/>
      <c r="BI74" s="378"/>
      <c r="BJ74" s="378"/>
      <c r="BK74" s="378"/>
      <c r="BL74" s="378"/>
      <c r="BM74" s="378"/>
      <c r="BN74" s="378"/>
      <c r="BO74" s="378"/>
      <c r="BP74" s="378"/>
      <c r="BQ74" s="378"/>
      <c r="BR74" s="378"/>
      <c r="BS74" s="378"/>
      <c r="BT74" s="753" t="str">
        <f>IF(AL74=0,"",(AF74/AL74-1))</f>
        <v/>
      </c>
      <c r="BU74" s="902">
        <f>AL74-AF74</f>
        <v>0</v>
      </c>
      <c r="BV74" s="902"/>
      <c r="BW74" s="902"/>
      <c r="BX74" s="903" t="str">
        <f>IF(BG74=0,"",(AH74/BG74-1))</f>
        <v/>
      </c>
      <c r="BY74" s="902">
        <f>BG74-AH74</f>
        <v>0</v>
      </c>
      <c r="BZ74" s="902"/>
      <c r="CA74" s="355"/>
      <c r="CB74" s="355"/>
      <c r="CC74" s="355"/>
      <c r="CD74" s="355"/>
      <c r="CE74" s="355"/>
      <c r="CF74" s="355"/>
      <c r="CG74" s="355"/>
      <c r="CH74" s="355"/>
      <c r="CI74" s="355"/>
      <c r="CJ74" s="355"/>
      <c r="CK74" s="355"/>
      <c r="CL74" s="355"/>
      <c r="CM74" s="355"/>
      <c r="CN74" s="355"/>
      <c r="CO74" s="355"/>
      <c r="CP74" s="355"/>
      <c r="CQ74" s="355"/>
      <c r="CR74" s="355"/>
    </row>
    <row r="75" spans="1:96" ht="35.25" customHeight="1" x14ac:dyDescent="0.25">
      <c r="A75" s="80"/>
      <c r="B75" s="80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142">
        <v>46131.166666666664</v>
      </c>
      <c r="P75" s="166">
        <v>0.05</v>
      </c>
      <c r="Q75" s="166">
        <v>801.4</v>
      </c>
      <c r="R75" s="170">
        <v>859.1</v>
      </c>
      <c r="S75" s="702">
        <v>795.59427594747206</v>
      </c>
      <c r="T75" s="720"/>
      <c r="U75" s="717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L75" s="355"/>
      <c r="AM75" s="355"/>
      <c r="AN75" s="362"/>
      <c r="AO75" s="355"/>
      <c r="AP75" s="355"/>
      <c r="AQ75" s="355"/>
      <c r="AR75" s="355"/>
      <c r="AS75" s="355"/>
      <c r="AT75" s="355"/>
      <c r="AU75" s="355"/>
      <c r="AV75" s="355"/>
      <c r="AW75" s="355"/>
      <c r="AX75" s="355"/>
      <c r="AY75" s="355"/>
      <c r="AZ75" s="355"/>
      <c r="BA75" s="355"/>
      <c r="BB75" s="355"/>
      <c r="BC75" s="355"/>
      <c r="BD75" s="355"/>
      <c r="BE75" s="355"/>
      <c r="BF75" s="355"/>
      <c r="BG75" s="355"/>
      <c r="BH75" s="378"/>
      <c r="BI75" s="378"/>
      <c r="BJ75" s="378"/>
      <c r="BK75" s="378"/>
      <c r="BL75" s="378"/>
      <c r="BM75" s="378"/>
      <c r="BN75" s="378"/>
      <c r="BO75" s="378"/>
      <c r="BP75" s="378"/>
      <c r="BQ75" s="378"/>
      <c r="BR75" s="378"/>
      <c r="BS75" s="378"/>
      <c r="BT75" s="753" t="str">
        <f>IF(AL75=0,"",(AF75/AL75-1))</f>
        <v/>
      </c>
      <c r="BU75" s="902">
        <f>AL75-AF75</f>
        <v>0</v>
      </c>
      <c r="BV75" s="902"/>
      <c r="BW75" s="902"/>
      <c r="BX75" s="903" t="str">
        <f>IF(BG75=0,"",(AH75/BG75-1))</f>
        <v/>
      </c>
      <c r="BY75" s="902">
        <f>BG75-AH75</f>
        <v>0</v>
      </c>
      <c r="BZ75" s="902"/>
      <c r="CA75" s="355"/>
      <c r="CB75" s="355"/>
      <c r="CC75" s="355"/>
      <c r="CD75" s="355"/>
      <c r="CE75" s="355"/>
      <c r="CF75" s="355"/>
      <c r="CG75" s="355"/>
      <c r="CH75" s="355"/>
      <c r="CI75" s="355"/>
      <c r="CJ75" s="355"/>
      <c r="CK75" s="355"/>
      <c r="CL75" s="355"/>
      <c r="CM75" s="355"/>
      <c r="CN75" s="355"/>
      <c r="CO75" s="355"/>
      <c r="CP75" s="355"/>
      <c r="CQ75" s="355"/>
      <c r="CR75" s="355"/>
    </row>
    <row r="76" spans="1:96" ht="35.25" customHeight="1" x14ac:dyDescent="0.25">
      <c r="A76" s="80"/>
      <c r="B76" s="80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142">
        <v>46131.208333333336</v>
      </c>
      <c r="P76" s="171">
        <v>0.01</v>
      </c>
      <c r="Q76" s="166">
        <v>801.4</v>
      </c>
      <c r="R76" s="170">
        <v>859.1</v>
      </c>
      <c r="S76" s="702">
        <v>795.59427594747206</v>
      </c>
      <c r="T76" s="720"/>
      <c r="U76" s="717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L76" s="355"/>
      <c r="AM76" s="355"/>
      <c r="AN76" s="362"/>
      <c r="AO76" s="355"/>
      <c r="AP76" s="355"/>
      <c r="AQ76" s="355"/>
      <c r="AR76" s="355"/>
      <c r="AS76" s="355"/>
      <c r="AT76" s="355"/>
      <c r="AU76" s="355"/>
      <c r="AV76" s="355"/>
      <c r="AW76" s="355"/>
      <c r="AX76" s="355"/>
      <c r="AY76" s="355"/>
      <c r="AZ76" s="355"/>
      <c r="BA76" s="355"/>
      <c r="BB76" s="355"/>
      <c r="BC76" s="355"/>
      <c r="BD76" s="355"/>
      <c r="BE76" s="355"/>
      <c r="BF76" s="355"/>
      <c r="BG76" s="355"/>
      <c r="BH76" s="378"/>
      <c r="BI76" s="378"/>
      <c r="BJ76" s="378"/>
      <c r="BK76" s="378"/>
      <c r="BL76" s="378"/>
      <c r="BM76" s="378"/>
      <c r="BN76" s="378"/>
      <c r="BO76" s="378"/>
      <c r="BP76" s="378"/>
      <c r="BQ76" s="378"/>
      <c r="BR76" s="378"/>
      <c r="BS76" s="378"/>
      <c r="BT76" s="753" t="str">
        <f>IF(AL76=0,"",(AF76/AL76-1))</f>
        <v/>
      </c>
      <c r="BU76" s="902">
        <f>AL76-AF76</f>
        <v>0</v>
      </c>
      <c r="BV76" s="902"/>
      <c r="BW76" s="902"/>
      <c r="BX76" s="903" t="str">
        <f>IF(BG76=0,"",(AH76/BG76-1))</f>
        <v/>
      </c>
      <c r="BY76" s="902">
        <f>BG76-AH76</f>
        <v>0</v>
      </c>
      <c r="BZ76" s="902"/>
      <c r="CA76" s="355"/>
      <c r="CB76" s="355"/>
      <c r="CC76" s="355"/>
      <c r="CD76" s="355"/>
      <c r="CE76" s="355"/>
      <c r="CF76" s="355"/>
      <c r="CG76" s="355"/>
      <c r="CH76" s="355"/>
      <c r="CI76" s="355"/>
      <c r="CJ76" s="355"/>
      <c r="CK76" s="355"/>
      <c r="CL76" s="355"/>
      <c r="CM76" s="355"/>
      <c r="CN76" s="355"/>
      <c r="CO76" s="355"/>
      <c r="CP76" s="355"/>
      <c r="CQ76" s="355"/>
      <c r="CR76" s="355"/>
    </row>
    <row r="77" spans="1:96" ht="35.25" customHeight="1" x14ac:dyDescent="0.25">
      <c r="A77" s="80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142">
        <v>46131.25</v>
      </c>
      <c r="P77" s="166">
        <v>0.01</v>
      </c>
      <c r="Q77" s="166">
        <v>801.4</v>
      </c>
      <c r="R77" s="170">
        <v>859.1</v>
      </c>
      <c r="S77" s="702">
        <v>795.59427594747206</v>
      </c>
      <c r="T77" s="720"/>
      <c r="U77" s="717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L77" s="355"/>
      <c r="AM77" s="355"/>
      <c r="AN77" s="362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78"/>
      <c r="BI77" s="378"/>
      <c r="BJ77" s="378"/>
      <c r="BK77" s="378"/>
      <c r="BL77" s="378"/>
      <c r="BM77" s="378"/>
      <c r="BN77" s="378"/>
      <c r="BO77" s="378"/>
      <c r="BP77" s="378"/>
      <c r="BQ77" s="378"/>
      <c r="BR77" s="378"/>
      <c r="BS77" s="378"/>
      <c r="BT77" s="753" t="str">
        <f>IF(AL77=0,"",(AF77/AL77-1))</f>
        <v/>
      </c>
      <c r="BU77" s="902">
        <f>AL77-AF77</f>
        <v>0</v>
      </c>
      <c r="BV77" s="902"/>
      <c r="BW77" s="902"/>
      <c r="BX77" s="903" t="str">
        <f>IF(BG77=0,"",(AH77/BG77-1))</f>
        <v/>
      </c>
      <c r="BY77" s="902">
        <f>BG77-AH77</f>
        <v>0</v>
      </c>
      <c r="BZ77" s="902"/>
      <c r="CA77" s="355"/>
      <c r="CB77" s="355"/>
      <c r="CC77" s="355"/>
      <c r="CD77" s="355"/>
      <c r="CE77" s="355"/>
      <c r="CF77" s="355"/>
      <c r="CG77" s="355"/>
      <c r="CH77" s="355"/>
      <c r="CI77" s="355"/>
      <c r="CJ77" s="355"/>
      <c r="CK77" s="355"/>
      <c r="CL77" s="355"/>
      <c r="CM77" s="355"/>
      <c r="CN77" s="355"/>
      <c r="CO77" s="355"/>
      <c r="CP77" s="355"/>
      <c r="CQ77" s="355"/>
      <c r="CR77" s="355"/>
    </row>
    <row r="78" spans="1:96" ht="35.25" customHeight="1" thickBot="1" x14ac:dyDescent="0.3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142">
        <v>46131.291666666664</v>
      </c>
      <c r="P78" s="166">
        <v>0.01</v>
      </c>
      <c r="Q78" s="166">
        <v>801.2</v>
      </c>
      <c r="R78" s="170">
        <v>859.1</v>
      </c>
      <c r="S78" s="702">
        <v>795.59427594747206</v>
      </c>
      <c r="T78" s="721"/>
      <c r="U78" s="717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L78" s="355"/>
      <c r="AM78" s="355"/>
      <c r="AN78" s="362"/>
      <c r="AO78" s="355"/>
      <c r="AP78" s="355"/>
      <c r="AQ78" s="355"/>
      <c r="AR78" s="355"/>
      <c r="AS78" s="355"/>
      <c r="AT78" s="355"/>
      <c r="AU78" s="355"/>
      <c r="AV78" s="355"/>
      <c r="AW78" s="355"/>
      <c r="AX78" s="355"/>
      <c r="AY78" s="355"/>
      <c r="AZ78" s="355"/>
      <c r="BA78" s="355"/>
      <c r="BB78" s="355"/>
      <c r="BC78" s="355"/>
      <c r="BD78" s="355"/>
      <c r="BE78" s="355"/>
      <c r="BF78" s="355"/>
      <c r="BG78" s="355"/>
      <c r="BH78" s="378"/>
      <c r="BI78" s="378"/>
      <c r="BJ78" s="378"/>
      <c r="BK78" s="378"/>
      <c r="BL78" s="378"/>
      <c r="BM78" s="378"/>
      <c r="BN78" s="378"/>
      <c r="BO78" s="378"/>
      <c r="BP78" s="378"/>
      <c r="BQ78" s="378"/>
      <c r="BR78" s="378"/>
      <c r="BS78" s="378"/>
      <c r="BT78" s="753" t="str">
        <f>IF(AL78=0,"",(AF78/AL78-1))</f>
        <v/>
      </c>
      <c r="BU78" s="902">
        <f>AL78-AF78</f>
        <v>0</v>
      </c>
      <c r="BV78" s="902"/>
      <c r="BW78" s="902"/>
      <c r="BX78" s="903" t="str">
        <f>IF(BG78=0,"",(AH78/BG78-1))</f>
        <v/>
      </c>
      <c r="BY78" s="902">
        <f>BG78-AH78</f>
        <v>0</v>
      </c>
      <c r="BZ78" s="902"/>
      <c r="CA78" s="355"/>
      <c r="CB78" s="355"/>
      <c r="CC78" s="355"/>
      <c r="CD78" s="355"/>
      <c r="CE78" s="355"/>
      <c r="CF78" s="355"/>
      <c r="CG78" s="355"/>
      <c r="CH78" s="355"/>
      <c r="CI78" s="355"/>
      <c r="CJ78" s="355"/>
      <c r="CK78" s="355"/>
      <c r="CL78" s="355"/>
      <c r="CM78" s="355"/>
      <c r="CN78" s="355"/>
      <c r="CO78" s="355"/>
      <c r="CP78" s="355"/>
      <c r="CQ78" s="355"/>
      <c r="CR78" s="355"/>
    </row>
    <row r="79" spans="1:96" ht="35.25" customHeight="1" x14ac:dyDescent="0.25">
      <c r="A79" s="80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703" t="s">
        <v>12</v>
      </c>
      <c r="P79" s="704">
        <f>AVERAGE(P55:P78)</f>
        <v>4.5000000000000012E-2</v>
      </c>
      <c r="Q79" s="704">
        <f>AVERAGE(Q55:Q78)</f>
        <v>801.5333333333333</v>
      </c>
      <c r="R79" s="704">
        <f>AVERAGE(R55:R78)</f>
        <v>859.89166666666654</v>
      </c>
      <c r="S79" s="704">
        <f>AVERAGE(S55:S78)</f>
        <v>795.59427594747228</v>
      </c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L79" s="355"/>
      <c r="AM79" s="355"/>
      <c r="AN79" s="355"/>
      <c r="AO79" s="355"/>
      <c r="AP79" s="355"/>
      <c r="AQ79" s="355"/>
      <c r="AR79" s="355"/>
      <c r="AS79" s="355"/>
      <c r="AT79" s="355"/>
      <c r="AU79" s="355"/>
      <c r="AV79" s="355"/>
      <c r="AW79" s="355"/>
      <c r="AX79" s="355"/>
      <c r="AY79" s="355"/>
      <c r="AZ79" s="355"/>
      <c r="BA79" s="355"/>
      <c r="BB79" s="355"/>
      <c r="BC79" s="355"/>
      <c r="BD79" s="355"/>
      <c r="BE79" s="355"/>
      <c r="BF79" s="355"/>
      <c r="BG79" s="355"/>
      <c r="BH79" s="378"/>
      <c r="BI79" s="378"/>
      <c r="BJ79" s="378"/>
      <c r="BK79" s="378"/>
      <c r="BL79" s="378"/>
      <c r="BM79" s="378"/>
      <c r="BN79" s="378"/>
      <c r="BO79" s="378"/>
      <c r="BP79" s="378"/>
      <c r="BQ79" s="378"/>
      <c r="BR79" s="378"/>
      <c r="BS79" s="378"/>
      <c r="BT79" s="753" t="str">
        <f>IF(AL79=0,"",(AF79/AL79-1))</f>
        <v/>
      </c>
      <c r="BU79" s="902">
        <f>AL79-AF79</f>
        <v>0</v>
      </c>
      <c r="BV79" s="902"/>
      <c r="BW79" s="902"/>
      <c r="BX79" s="903" t="str">
        <f>IF(BG79=0,"",(AH79/BG79-1))</f>
        <v/>
      </c>
      <c r="BY79" s="902">
        <f>BG79-AH79</f>
        <v>0</v>
      </c>
      <c r="BZ79" s="902"/>
      <c r="CA79" s="355"/>
      <c r="CB79" s="355"/>
      <c r="CC79" s="355"/>
      <c r="CD79" s="355"/>
      <c r="CE79" s="355"/>
      <c r="CF79" s="355"/>
      <c r="CG79" s="355"/>
      <c r="CH79" s="355"/>
      <c r="CI79" s="355"/>
      <c r="CJ79" s="355"/>
      <c r="CK79" s="355"/>
      <c r="CL79" s="355"/>
      <c r="CM79" s="355"/>
      <c r="CN79" s="355"/>
      <c r="CO79" s="355"/>
      <c r="CP79" s="355"/>
      <c r="CQ79" s="355"/>
      <c r="CR79" s="355"/>
    </row>
    <row r="80" spans="1:96" ht="21" customHeight="1" x14ac:dyDescent="0.25">
      <c r="A80" s="80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L80" s="355"/>
      <c r="AM80" s="355"/>
      <c r="AN80" s="355"/>
      <c r="AO80" s="355"/>
      <c r="AP80" s="355"/>
      <c r="AQ80" s="355"/>
      <c r="AR80" s="355"/>
      <c r="AS80" s="355"/>
      <c r="AT80" s="355"/>
      <c r="AU80" s="355"/>
      <c r="AV80" s="355"/>
      <c r="AW80" s="355"/>
      <c r="AX80" s="355"/>
      <c r="AY80" s="355"/>
      <c r="AZ80" s="355"/>
      <c r="BA80" s="355"/>
      <c r="BB80" s="355"/>
      <c r="BC80" s="355"/>
      <c r="BD80" s="355"/>
      <c r="BE80" s="355"/>
      <c r="BF80" s="355"/>
      <c r="BG80" s="355"/>
      <c r="BH80" s="378"/>
      <c r="BI80" s="378"/>
      <c r="BJ80" s="378"/>
      <c r="BK80" s="378"/>
      <c r="BL80" s="378"/>
      <c r="BM80" s="378"/>
      <c r="BN80" s="378"/>
      <c r="BO80" s="378"/>
      <c r="BP80" s="378"/>
      <c r="BQ80" s="378"/>
      <c r="BR80" s="378"/>
      <c r="BS80" s="378"/>
      <c r="BT80" s="753" t="str">
        <f>IF(AL80=0,"",(AF80/AL80-1))</f>
        <v/>
      </c>
      <c r="BU80" s="902">
        <f>AL80-AF80</f>
        <v>0</v>
      </c>
      <c r="BV80" s="902"/>
      <c r="BW80" s="902"/>
      <c r="BX80" s="903" t="str">
        <f>IF(BG80=0,"",(AH80/BG80-1))</f>
        <v/>
      </c>
      <c r="BY80" s="902">
        <f>BG80-AH80</f>
        <v>0</v>
      </c>
      <c r="BZ80" s="902"/>
      <c r="CA80" s="355"/>
      <c r="CB80" s="355"/>
      <c r="CC80" s="355"/>
      <c r="CD80" s="355"/>
      <c r="CE80" s="355"/>
      <c r="CF80" s="355"/>
      <c r="CG80" s="355"/>
      <c r="CH80" s="355"/>
      <c r="CI80" s="355"/>
      <c r="CJ80" s="355"/>
      <c r="CK80" s="355"/>
      <c r="CL80" s="355"/>
      <c r="CM80" s="355"/>
      <c r="CN80" s="355"/>
      <c r="CO80" s="355"/>
      <c r="CP80" s="355"/>
      <c r="CQ80" s="355"/>
      <c r="CR80" s="355"/>
    </row>
    <row r="81" spans="1:96" ht="21" customHeight="1" x14ac:dyDescent="0.25">
      <c r="A81" s="80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J81" s="80"/>
      <c r="AL81" s="355"/>
      <c r="AM81" s="355"/>
      <c r="AN81" s="355"/>
      <c r="AO81" s="355"/>
      <c r="AP81" s="355"/>
      <c r="AQ81" s="355"/>
      <c r="AR81" s="355"/>
      <c r="AS81" s="355"/>
      <c r="AT81" s="355"/>
      <c r="AU81" s="355"/>
      <c r="AV81" s="355"/>
      <c r="AW81" s="355"/>
      <c r="AX81" s="355"/>
      <c r="AY81" s="355"/>
      <c r="AZ81" s="355"/>
      <c r="BA81" s="355"/>
      <c r="BB81" s="355"/>
      <c r="BC81" s="355"/>
      <c r="BD81" s="355"/>
      <c r="BE81" s="355"/>
      <c r="BF81" s="355"/>
      <c r="BG81" s="355"/>
      <c r="BH81" s="355"/>
      <c r="BI81" s="355"/>
      <c r="BJ81" s="355"/>
      <c r="BK81" s="355"/>
      <c r="BL81" s="355"/>
      <c r="BM81" s="355"/>
      <c r="BN81" s="355"/>
      <c r="BO81" s="355"/>
      <c r="BP81" s="355"/>
      <c r="BQ81" s="355"/>
      <c r="BR81" s="355"/>
      <c r="BS81" s="355"/>
      <c r="BT81" s="747" t="str">
        <f>IF(AL81=0,"",(AF81/AL81-1))</f>
        <v/>
      </c>
      <c r="BU81" s="63">
        <f>AL81-AF81</f>
        <v>0</v>
      </c>
      <c r="BV81" s="63"/>
      <c r="BW81" s="63"/>
      <c r="BX81" s="901" t="str">
        <f>IF(BG81=0,"",(AH81/BG81-1))</f>
        <v/>
      </c>
      <c r="BY81" s="63">
        <f>BG81-AH81</f>
        <v>0</v>
      </c>
      <c r="BZ81" s="63"/>
      <c r="CA81" s="355"/>
      <c r="CB81" s="355"/>
      <c r="CC81" s="355"/>
      <c r="CD81" s="355"/>
      <c r="CE81" s="355"/>
      <c r="CF81" s="355"/>
      <c r="CG81" s="355"/>
      <c r="CH81" s="355"/>
      <c r="CI81" s="355"/>
      <c r="CJ81" s="355"/>
      <c r="CK81" s="355"/>
      <c r="CL81" s="355"/>
      <c r="CM81" s="355"/>
      <c r="CN81" s="355"/>
      <c r="CO81" s="355"/>
      <c r="CP81" s="355"/>
      <c r="CQ81" s="355"/>
      <c r="CR81" s="355"/>
    </row>
    <row r="82" spans="1:96" ht="21" customHeight="1" x14ac:dyDescent="0.25">
      <c r="A82" s="80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J82" s="80"/>
      <c r="AL82" s="355"/>
      <c r="AM82" s="355"/>
      <c r="AN82" s="355"/>
      <c r="AO82" s="355"/>
      <c r="AP82" s="355"/>
      <c r="AQ82" s="355"/>
      <c r="AR82" s="355"/>
      <c r="AS82" s="355"/>
      <c r="AT82" s="355"/>
      <c r="AU82" s="355"/>
      <c r="AV82" s="355"/>
      <c r="AW82" s="355"/>
      <c r="AX82" s="355"/>
      <c r="AY82" s="355"/>
      <c r="AZ82" s="355"/>
      <c r="BA82" s="355"/>
      <c r="BB82" s="355"/>
      <c r="BC82" s="355"/>
      <c r="BD82" s="355"/>
      <c r="BE82" s="355"/>
      <c r="BF82" s="355"/>
      <c r="BG82" s="355"/>
      <c r="BH82" s="355"/>
      <c r="BI82" s="355"/>
      <c r="BJ82" s="355"/>
      <c r="BK82" s="355"/>
      <c r="BL82" s="355"/>
      <c r="BM82" s="355"/>
      <c r="BN82" s="355"/>
      <c r="BO82" s="355"/>
      <c r="BP82" s="355"/>
      <c r="BQ82" s="355"/>
      <c r="BR82" s="355"/>
      <c r="BS82" s="355"/>
      <c r="BT82" s="747" t="str">
        <f>IF(AL82=0,"",(AF82/AL82-1))</f>
        <v/>
      </c>
      <c r="BU82" s="63">
        <f>AL82-AF82</f>
        <v>0</v>
      </c>
      <c r="BV82" s="63"/>
      <c r="BW82" s="63"/>
      <c r="BX82" s="901" t="str">
        <f>IF(BG82=0,"",(AH82/BG82-1))</f>
        <v/>
      </c>
      <c r="BY82" s="63">
        <f>BG82-AH82</f>
        <v>0</v>
      </c>
      <c r="BZ82" s="63"/>
      <c r="CA82" s="355"/>
      <c r="CB82" s="355"/>
      <c r="CC82" s="355"/>
      <c r="CD82" s="355"/>
      <c r="CE82" s="355"/>
      <c r="CF82" s="355"/>
      <c r="CG82" s="355"/>
      <c r="CH82" s="355"/>
      <c r="CI82" s="355"/>
      <c r="CJ82" s="355"/>
      <c r="CK82" s="355"/>
      <c r="CL82" s="355"/>
      <c r="CM82" s="355"/>
      <c r="CN82" s="355"/>
      <c r="CO82" s="355"/>
      <c r="CP82" s="355"/>
      <c r="CQ82" s="355"/>
      <c r="CR82" s="355"/>
    </row>
    <row r="83" spans="1:96" ht="21" customHeight="1" x14ac:dyDescent="0.25">
      <c r="A83" s="80"/>
      <c r="B83" s="113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P83" s="142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29"/>
      <c r="AL83" s="355"/>
      <c r="AM83" s="355"/>
      <c r="AN83" s="355"/>
      <c r="AO83" s="355"/>
      <c r="AP83" s="355"/>
      <c r="AQ83" s="355"/>
      <c r="AR83" s="355"/>
      <c r="AS83" s="355"/>
      <c r="AT83" s="355"/>
      <c r="AU83" s="355"/>
      <c r="AV83" s="355"/>
      <c r="AW83" s="355"/>
      <c r="AX83" s="355"/>
      <c r="AY83" s="355"/>
      <c r="AZ83" s="355"/>
      <c r="BA83" s="355"/>
      <c r="BB83" s="355"/>
      <c r="BC83" s="355"/>
      <c r="BD83" s="355"/>
      <c r="BE83" s="355"/>
      <c r="BF83" s="355"/>
      <c r="BG83" s="355"/>
      <c r="BH83" s="355"/>
      <c r="BI83" s="355"/>
      <c r="BJ83" s="355"/>
      <c r="BK83" s="355"/>
      <c r="BL83" s="355"/>
      <c r="BM83" s="355"/>
      <c r="BN83" s="355"/>
      <c r="BO83" s="355"/>
      <c r="BP83" s="355"/>
      <c r="BQ83" s="355"/>
      <c r="BR83" s="355"/>
      <c r="BS83" s="355"/>
      <c r="BT83" s="747" t="str">
        <f>IF(AL83=0,"",(AF83/AL83-1))</f>
        <v/>
      </c>
      <c r="BU83" s="63">
        <f>AL83-AF83</f>
        <v>0</v>
      </c>
      <c r="BV83" s="63"/>
      <c r="BW83" s="63"/>
      <c r="BX83" s="901" t="str">
        <f>IF(BG83=0,"",(AH83/BG83-1))</f>
        <v/>
      </c>
      <c r="BY83" s="63">
        <f>BG83-AH83</f>
        <v>0</v>
      </c>
      <c r="BZ83" s="63"/>
      <c r="CA83" s="355"/>
      <c r="CB83" s="355"/>
      <c r="CC83" s="355"/>
      <c r="CD83" s="355"/>
      <c r="CE83" s="355"/>
      <c r="CF83" s="355"/>
      <c r="CG83" s="355"/>
      <c r="CH83" s="355"/>
      <c r="CI83" s="355"/>
      <c r="CJ83" s="355"/>
      <c r="CK83" s="355"/>
      <c r="CL83" s="355"/>
      <c r="CM83" s="355"/>
      <c r="CN83" s="355"/>
      <c r="CO83" s="355"/>
      <c r="CP83" s="355"/>
      <c r="CQ83" s="355"/>
      <c r="CR83" s="355"/>
    </row>
    <row r="84" spans="1:96" ht="21" customHeight="1" x14ac:dyDescent="0.25">
      <c r="A84" s="80"/>
      <c r="B84" s="113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P84" s="142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L84" s="355"/>
      <c r="AM84" s="355"/>
      <c r="AN84" s="355"/>
      <c r="AO84" s="355"/>
      <c r="AP84" s="355"/>
      <c r="AQ84" s="355"/>
      <c r="AR84" s="355"/>
      <c r="AS84" s="355"/>
      <c r="AT84" s="355"/>
      <c r="AU84" s="355"/>
      <c r="AV84" s="355"/>
      <c r="AW84" s="355"/>
      <c r="AX84" s="355"/>
      <c r="AY84" s="355"/>
      <c r="AZ84" s="355"/>
      <c r="BA84" s="355"/>
      <c r="BB84" s="355"/>
      <c r="BC84" s="355"/>
      <c r="BD84" s="355"/>
      <c r="BE84" s="355"/>
      <c r="BF84" s="355"/>
      <c r="BG84" s="355"/>
      <c r="BH84" s="355"/>
      <c r="BI84" s="355"/>
      <c r="BJ84" s="355"/>
      <c r="BK84" s="355"/>
      <c r="BL84" s="355"/>
      <c r="BM84" s="355"/>
      <c r="BN84" s="355"/>
      <c r="BO84" s="355"/>
      <c r="BP84" s="355"/>
      <c r="BQ84" s="355"/>
      <c r="BR84" s="355"/>
      <c r="BS84" s="355"/>
      <c r="BT84" s="747" t="str">
        <f>IF(AL84=0,"",(AF84/AL84-1))</f>
        <v/>
      </c>
      <c r="BU84" s="63">
        <f>AL84-AF84</f>
        <v>0</v>
      </c>
      <c r="BV84" s="63"/>
      <c r="BW84" s="63"/>
      <c r="BX84" s="901" t="str">
        <f>IF(BG84=0,"",(AH84/BG84-1))</f>
        <v/>
      </c>
      <c r="BY84" s="63">
        <f>BG84-AH84</f>
        <v>0</v>
      </c>
      <c r="BZ84" s="63"/>
      <c r="CA84" s="355"/>
      <c r="CB84" s="355"/>
      <c r="CC84" s="355"/>
      <c r="CD84" s="355"/>
      <c r="CE84" s="355"/>
      <c r="CF84" s="355"/>
      <c r="CG84" s="355"/>
      <c r="CH84" s="355"/>
      <c r="CI84" s="355"/>
      <c r="CJ84" s="355"/>
      <c r="CK84" s="355"/>
      <c r="CL84" s="355"/>
      <c r="CM84" s="355"/>
      <c r="CN84" s="355"/>
      <c r="CO84" s="355"/>
      <c r="CP84" s="355"/>
      <c r="CQ84" s="355"/>
      <c r="CR84" s="355"/>
    </row>
    <row r="85" spans="1:96" ht="21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P85" s="142"/>
      <c r="AJ85" s="81"/>
      <c r="AL85" s="355"/>
      <c r="AM85" s="355"/>
      <c r="AN85" s="355"/>
      <c r="AO85" s="355"/>
      <c r="AP85" s="355"/>
      <c r="AQ85" s="355"/>
      <c r="AR85" s="355"/>
      <c r="AS85" s="355"/>
      <c r="AT85" s="355"/>
      <c r="AU85" s="355"/>
      <c r="AV85" s="355"/>
      <c r="AW85" s="355"/>
      <c r="AX85" s="355"/>
      <c r="AY85" s="355"/>
      <c r="AZ85" s="355"/>
      <c r="BA85" s="355"/>
      <c r="BB85" s="355"/>
      <c r="BC85" s="355"/>
      <c r="BD85" s="355"/>
      <c r="BE85" s="355"/>
      <c r="BF85" s="355"/>
      <c r="BG85" s="355"/>
      <c r="BH85" s="355"/>
      <c r="BI85" s="355"/>
      <c r="BJ85" s="355"/>
      <c r="BK85" s="355"/>
      <c r="BL85" s="355"/>
      <c r="BM85" s="355"/>
      <c r="BN85" s="355"/>
      <c r="BO85" s="355"/>
      <c r="BP85" s="355"/>
      <c r="BQ85" s="355"/>
      <c r="BR85" s="355"/>
      <c r="BS85" s="355"/>
      <c r="BT85" s="747" t="str">
        <f>IF(AL85=0,"",(AF85/AL85-1))</f>
        <v/>
      </c>
      <c r="BU85" s="63">
        <f>AL85-AF85</f>
        <v>0</v>
      </c>
      <c r="BV85" s="63"/>
      <c r="BW85" s="63"/>
      <c r="BX85" s="901" t="str">
        <f>IF(BG85=0,"",(AH85/BG85-1))</f>
        <v/>
      </c>
      <c r="BY85" s="63">
        <f>BG85-AH85</f>
        <v>0</v>
      </c>
      <c r="BZ85" s="63"/>
      <c r="CA85" s="355"/>
      <c r="CB85" s="355"/>
      <c r="CC85" s="355"/>
      <c r="CD85" s="355"/>
      <c r="CE85" s="355"/>
      <c r="CF85" s="355"/>
      <c r="CG85" s="355"/>
      <c r="CH85" s="355"/>
      <c r="CI85" s="355"/>
      <c r="CJ85" s="355"/>
      <c r="CK85" s="355"/>
      <c r="CL85" s="355"/>
      <c r="CM85" s="355"/>
      <c r="CN85" s="355"/>
      <c r="CO85" s="355"/>
      <c r="CP85" s="355"/>
      <c r="CQ85" s="355"/>
      <c r="CR85" s="355"/>
    </row>
    <row r="86" spans="1:96" ht="21" customHeight="1" x14ac:dyDescent="0.25">
      <c r="B86" s="35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P86" s="142"/>
      <c r="AL86" s="355"/>
      <c r="AM86" s="355"/>
      <c r="AN86" s="355"/>
      <c r="AO86" s="355"/>
      <c r="AP86" s="355"/>
      <c r="AQ86" s="355"/>
      <c r="AR86" s="355"/>
      <c r="AS86" s="355"/>
      <c r="AT86" s="355"/>
      <c r="AU86" s="355"/>
      <c r="AV86" s="355"/>
      <c r="AW86" s="355"/>
      <c r="AX86" s="355"/>
      <c r="AY86" s="355"/>
      <c r="AZ86" s="355"/>
      <c r="BA86" s="355"/>
      <c r="BB86" s="355"/>
      <c r="BC86" s="355"/>
      <c r="BD86" s="355"/>
      <c r="BE86" s="355"/>
      <c r="BF86" s="355"/>
      <c r="BG86" s="355"/>
      <c r="BH86" s="355"/>
      <c r="BI86" s="355"/>
      <c r="BJ86" s="355"/>
      <c r="BK86" s="355"/>
      <c r="BL86" s="355"/>
      <c r="BM86" s="355"/>
      <c r="BN86" s="355"/>
      <c r="BO86" s="355"/>
      <c r="BP86" s="355"/>
      <c r="BQ86" s="355"/>
      <c r="BR86" s="355"/>
      <c r="BS86" s="355"/>
      <c r="BT86" s="747" t="str">
        <f>IF(AL86=0,"",(AF86/AL86-1))</f>
        <v/>
      </c>
      <c r="BU86" s="63">
        <f>AL86-AF86</f>
        <v>0</v>
      </c>
      <c r="BV86" s="63"/>
      <c r="BW86" s="63"/>
      <c r="BX86" s="901" t="str">
        <f>IF(BG86=0,"",(AH86/BG86-1))</f>
        <v/>
      </c>
      <c r="BY86" s="63">
        <f>BG86-AH86</f>
        <v>0</v>
      </c>
      <c r="BZ86" s="63"/>
      <c r="CA86" s="355"/>
      <c r="CB86" s="355"/>
      <c r="CC86" s="355"/>
      <c r="CD86" s="355"/>
      <c r="CE86" s="355"/>
      <c r="CF86" s="355"/>
      <c r="CG86" s="355"/>
      <c r="CH86" s="355"/>
      <c r="CI86" s="355"/>
      <c r="CJ86" s="355"/>
      <c r="CK86" s="355"/>
      <c r="CL86" s="355"/>
      <c r="CM86" s="355"/>
      <c r="CN86" s="355"/>
      <c r="CO86" s="355"/>
      <c r="CP86" s="355"/>
      <c r="CQ86" s="355"/>
      <c r="CR86" s="355"/>
    </row>
    <row r="87" spans="1:96" ht="21" customHeight="1" x14ac:dyDescent="0.25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P87" s="142"/>
      <c r="AL87" s="355"/>
      <c r="AM87" s="355"/>
      <c r="AN87" s="355"/>
      <c r="AO87" s="355"/>
      <c r="AP87" s="355"/>
      <c r="AQ87" s="355"/>
      <c r="AR87" s="355"/>
      <c r="AS87" s="355"/>
      <c r="AT87" s="355"/>
      <c r="AU87" s="355"/>
      <c r="AV87" s="355"/>
      <c r="AW87" s="355"/>
      <c r="AX87" s="355"/>
      <c r="AY87" s="355"/>
      <c r="AZ87" s="355"/>
      <c r="BA87" s="355"/>
      <c r="BB87" s="355"/>
      <c r="BC87" s="355"/>
      <c r="BD87" s="355"/>
      <c r="BE87" s="355"/>
      <c r="BF87" s="355"/>
      <c r="BG87" s="355"/>
      <c r="BH87" s="355"/>
      <c r="BI87" s="355"/>
      <c r="BJ87" s="355"/>
      <c r="BK87" s="355"/>
      <c r="BL87" s="355"/>
      <c r="BM87" s="355"/>
      <c r="BN87" s="355"/>
      <c r="BO87" s="355"/>
      <c r="BP87" s="355"/>
      <c r="BQ87" s="355"/>
      <c r="BR87" s="355"/>
      <c r="BS87" s="355"/>
      <c r="BT87" s="355"/>
      <c r="BU87" s="63"/>
      <c r="BV87" s="63"/>
      <c r="BW87" s="63"/>
      <c r="BX87" s="63"/>
      <c r="BY87" s="63"/>
      <c r="BZ87" s="63"/>
      <c r="CA87" s="355"/>
      <c r="CB87" s="355"/>
      <c r="CC87" s="355"/>
      <c r="CD87" s="355"/>
      <c r="CE87" s="355"/>
      <c r="CF87" s="355"/>
      <c r="CG87" s="355"/>
      <c r="CH87" s="355"/>
      <c r="CI87" s="355"/>
      <c r="CJ87" s="355"/>
      <c r="CK87" s="355"/>
      <c r="CL87" s="355"/>
      <c r="CM87" s="355"/>
      <c r="CN87" s="355"/>
      <c r="CO87" s="355"/>
      <c r="CP87" s="355"/>
      <c r="CQ87" s="355"/>
      <c r="CR87" s="355"/>
    </row>
    <row r="88" spans="1:96" ht="21" customHeight="1" x14ac:dyDescent="0.25"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P88" s="142"/>
      <c r="AL88" s="355"/>
      <c r="AM88" s="355"/>
      <c r="AN88" s="355"/>
      <c r="AO88" s="355"/>
      <c r="AP88" s="355"/>
      <c r="AQ88" s="355"/>
      <c r="AR88" s="355"/>
      <c r="AS88" s="355"/>
      <c r="AT88" s="355"/>
      <c r="AU88" s="355"/>
      <c r="AV88" s="355"/>
      <c r="AW88" s="355"/>
      <c r="AX88" s="355"/>
      <c r="AY88" s="355"/>
      <c r="AZ88" s="355"/>
      <c r="BA88" s="355"/>
      <c r="BB88" s="355"/>
      <c r="BC88" s="355"/>
      <c r="BD88" s="355"/>
      <c r="BE88" s="355"/>
      <c r="BF88" s="355"/>
      <c r="BG88" s="355"/>
      <c r="BH88" s="355"/>
      <c r="BI88" s="355"/>
      <c r="BJ88" s="355"/>
      <c r="BK88" s="355"/>
      <c r="BL88" s="355"/>
      <c r="BM88" s="355"/>
      <c r="BN88" s="355"/>
      <c r="BO88" s="355"/>
      <c r="BP88" s="355"/>
      <c r="BQ88" s="355"/>
      <c r="BR88" s="355"/>
      <c r="BS88" s="355"/>
      <c r="BT88" s="355"/>
      <c r="BU88" s="63"/>
      <c r="BV88" s="63"/>
      <c r="BW88" s="63"/>
      <c r="BX88" s="63"/>
      <c r="BY88" s="63"/>
      <c r="BZ88" s="63"/>
      <c r="CA88" s="355"/>
      <c r="CB88" s="355"/>
      <c r="CC88" s="355"/>
      <c r="CD88" s="355"/>
      <c r="CE88" s="355"/>
      <c r="CF88" s="355"/>
      <c r="CG88" s="355"/>
      <c r="CH88" s="355"/>
      <c r="CI88" s="355"/>
      <c r="CJ88" s="355"/>
      <c r="CK88" s="355"/>
      <c r="CL88" s="355"/>
      <c r="CM88" s="355"/>
      <c r="CN88" s="355"/>
      <c r="CO88" s="355"/>
      <c r="CP88" s="355"/>
      <c r="CQ88" s="355"/>
      <c r="CR88" s="355"/>
    </row>
    <row r="89" spans="1:96" ht="21" customHeight="1" x14ac:dyDescent="0.25"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P89" s="142"/>
      <c r="BU89" s="63"/>
      <c r="BV89" s="63"/>
      <c r="BW89" s="63"/>
      <c r="BX89" s="63"/>
      <c r="BY89" s="63"/>
      <c r="BZ89" s="63"/>
    </row>
    <row r="90" spans="1:96" ht="21" customHeight="1" x14ac:dyDescent="0.25"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P90" s="142"/>
    </row>
    <row r="91" spans="1:96" ht="21" customHeight="1" x14ac:dyDescent="0.25">
      <c r="P91" s="142"/>
    </row>
    <row r="92" spans="1:96" ht="21" customHeight="1" x14ac:dyDescent="0.25">
      <c r="P92" s="142"/>
    </row>
    <row r="93" spans="1:96" x14ac:dyDescent="0.25">
      <c r="P93" s="142"/>
    </row>
    <row r="94" spans="1:96" x14ac:dyDescent="0.25">
      <c r="P94" s="142"/>
    </row>
    <row r="95" spans="1:96" x14ac:dyDescent="0.25">
      <c r="P95" s="142"/>
    </row>
    <row r="96" spans="1:96" x14ac:dyDescent="0.25">
      <c r="P96" s="142"/>
    </row>
    <row r="97" spans="16:16" x14ac:dyDescent="0.25">
      <c r="P97" s="142"/>
    </row>
    <row r="98" spans="16:16" x14ac:dyDescent="0.25">
      <c r="P98" s="142"/>
    </row>
    <row r="99" spans="16:16" x14ac:dyDescent="0.25">
      <c r="P99" s="142"/>
    </row>
    <row r="100" spans="16:16" x14ac:dyDescent="0.25">
      <c r="P100" s="142"/>
    </row>
    <row r="101" spans="16:16" x14ac:dyDescent="0.25">
      <c r="P101" s="142"/>
    </row>
    <row r="102" spans="16:16" x14ac:dyDescent="0.25">
      <c r="P102" s="142"/>
    </row>
    <row r="103" spans="16:16" x14ac:dyDescent="0.25">
      <c r="P103" s="142"/>
    </row>
    <row r="104" spans="16:16" x14ac:dyDescent="0.25">
      <c r="P104" s="142"/>
    </row>
    <row r="105" spans="16:16" x14ac:dyDescent="0.25">
      <c r="P105" s="142"/>
    </row>
    <row r="106" spans="16:16" x14ac:dyDescent="0.25">
      <c r="P106" s="142"/>
    </row>
  </sheetData>
  <mergeCells count="59">
    <mergeCell ref="BT34:CE34"/>
    <mergeCell ref="BT39:BY39"/>
    <mergeCell ref="AR1:AT1"/>
    <mergeCell ref="C1:M1"/>
    <mergeCell ref="N1:P1"/>
    <mergeCell ref="Q1:S1"/>
    <mergeCell ref="T1:V1"/>
    <mergeCell ref="W1:Y1"/>
    <mergeCell ref="Z1:AB1"/>
    <mergeCell ref="AC1:AE1"/>
    <mergeCell ref="AF1:AH1"/>
    <mergeCell ref="AI1:AK1"/>
    <mergeCell ref="AL1:AN1"/>
    <mergeCell ref="AO1:AQ1"/>
    <mergeCell ref="CG1:CI1"/>
    <mergeCell ref="AU1:AW1"/>
    <mergeCell ref="AX1:AZ1"/>
    <mergeCell ref="BC1:BF1"/>
    <mergeCell ref="BI1:BK1"/>
    <mergeCell ref="BL1:BN1"/>
    <mergeCell ref="BO1:BQ1"/>
    <mergeCell ref="Q8:U8"/>
    <mergeCell ref="AA8:AH8"/>
    <mergeCell ref="CJ1:CL1"/>
    <mergeCell ref="CM1:CO1"/>
    <mergeCell ref="CP1:CR1"/>
    <mergeCell ref="A2:CR2"/>
    <mergeCell ref="A4:N4"/>
    <mergeCell ref="A5:F5"/>
    <mergeCell ref="G5:I5"/>
    <mergeCell ref="J5:K5"/>
    <mergeCell ref="M5:N5"/>
    <mergeCell ref="BR1:BT1"/>
    <mergeCell ref="BU1:BW1"/>
    <mergeCell ref="BX1:BZ1"/>
    <mergeCell ref="CA1:CC1"/>
    <mergeCell ref="CD1:CF1"/>
    <mergeCell ref="A34:C34"/>
    <mergeCell ref="M34:P36"/>
    <mergeCell ref="A35:C35"/>
    <mergeCell ref="A36:C36"/>
    <mergeCell ref="A7:B7"/>
    <mergeCell ref="B8:C8"/>
    <mergeCell ref="D8:L8"/>
    <mergeCell ref="M8:P8"/>
    <mergeCell ref="AJ8:AU8"/>
    <mergeCell ref="AV8:AX8"/>
    <mergeCell ref="AY8:BJ8"/>
    <mergeCell ref="BL8:BQ8"/>
    <mergeCell ref="BZ8:CE8"/>
    <mergeCell ref="BT8:BY8"/>
    <mergeCell ref="F54:H58"/>
    <mergeCell ref="AC55:AC57"/>
    <mergeCell ref="A39:F39"/>
    <mergeCell ref="A53:E53"/>
    <mergeCell ref="L53:M53"/>
    <mergeCell ref="O53:R53"/>
    <mergeCell ref="U53:X53"/>
    <mergeCell ref="Z53:AB53"/>
  </mergeCells>
  <conditionalFormatting sqref="A35 C40:G40 I40:O40">
    <cfRule type="expression" dxfId="21" priority="10">
      <formula>AND(A35&lt;24,A35&lt;&gt;"")</formula>
    </cfRule>
  </conditionalFormatting>
  <conditionalFormatting sqref="BZ41:BZ64 CA41:CC41 CB42:CB64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{B2F7E61C-C2AC-4619-AEEC-4BEC89FEF8D7}</x14:id>
        </ext>
      </extLst>
    </cfRule>
  </conditionalFormatting>
  <conditionalFormatting sqref="CA41:CC41 BZ41:BZ64 CB42:CB64">
    <cfRule type="cellIs" dxfId="20" priority="1" operator="equal">
      <formula>"FORA"</formula>
    </cfRule>
    <cfRule type="cellIs" dxfId="19" priority="2" operator="equal">
      <formula>"ok"</formula>
    </cfRule>
  </conditionalFormatting>
  <conditionalFormatting sqref="CD41:CD64">
    <cfRule type="cellIs" dxfId="18" priority="4" operator="equal">
      <formula>"FORA"</formula>
    </cfRule>
    <cfRule type="cellIs" dxfId="17" priority="5" operator="equal">
      <formula>"ok"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{C01396D8-EBA6-4824-ADAE-CB81A2311E8A}</x14:id>
        </ext>
      </extLst>
    </cfRule>
  </conditionalFormatting>
  <conditionalFormatting sqref="CD10:CE33">
    <cfRule type="cellIs" dxfId="16" priority="7" operator="equal">
      <formula>"FORA"</formula>
    </cfRule>
    <cfRule type="cellIs" dxfId="15" priority="8" operator="equal">
      <formula>"ok"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{AC67B23B-2CD0-4339-B065-0E90959F1303}</x14:id>
        </ext>
      </extLst>
    </cfRule>
  </conditionalFormatting>
  <dataValidations disablePrompts="1" count="1">
    <dataValidation type="list" allowBlank="1" sqref="CR10:CR33" xr:uid="{3A4BA1AA-6238-44F4-9C47-AFABA551BCF8}">
      <formula1>"OK,Alarme,Em investigação"</formula1>
    </dataValidation>
  </dataValidations>
  <hyperlinks>
    <hyperlink ref="D7" r:id="rId1" xr:uid="{BD05B925-F933-4C97-BB07-B0D60B98A129}"/>
  </hyperlinks>
  <pageMargins left="0.25" right="0.25" top="0.75" bottom="0.75" header="0.3" footer="0.3"/>
  <pageSetup paperSize="8" scale="69" fitToHeight="0" orientation="landscape" r:id="rId2"/>
  <headerFooter>
    <oddHeader>&amp;C&amp;P de &amp;N</oddHeader>
  </headerFooter>
  <colBreaks count="4" manualBreakCount="4">
    <brk id="16" min="2" max="49" man="1"/>
    <brk id="34" min="2" max="49" man="1"/>
    <brk id="47" min="2" max="49" man="1"/>
    <brk id="63" min="2" max="49" man="1"/>
  </colBreaks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2F7E61C-C2AC-4619-AEEC-4BEC89FEF8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BZ41:BZ64 CA41:CC41 CB42:CB64</xm:sqref>
        </x14:conditionalFormatting>
        <x14:conditionalFormatting xmlns:xm="http://schemas.microsoft.com/office/excel/2006/main">
          <x14:cfRule type="dataBar" id="{C01396D8-EBA6-4824-ADAE-CB81A2311E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CD41:CD64</xm:sqref>
        </x14:conditionalFormatting>
        <x14:conditionalFormatting xmlns:xm="http://schemas.microsoft.com/office/excel/2006/main">
          <x14:cfRule type="dataBar" id="{AC67B23B-2CD0-4339-B065-0E90959F130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CD10:CE33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4DDE6-B789-4BEC-8E3D-249F53DA0B2B}">
  <sheetPr>
    <tabColor theme="1" tint="0.249977111117893"/>
  </sheetPr>
  <dimension ref="A1:O35"/>
  <sheetViews>
    <sheetView showGridLines="0" workbookViewId="0">
      <selection activeCell="E2" sqref="E2"/>
    </sheetView>
  </sheetViews>
  <sheetFormatPr defaultRowHeight="15" x14ac:dyDescent="0.25"/>
  <cols>
    <col min="1" max="4" width="10.7109375" customWidth="1"/>
    <col min="5" max="5" width="12.5703125" customWidth="1"/>
    <col min="6" max="15" width="10.7109375" customWidth="1"/>
  </cols>
  <sheetData>
    <row r="1" spans="1:15" ht="47.25" x14ac:dyDescent="0.25">
      <c r="A1" s="891" t="s">
        <v>618</v>
      </c>
      <c r="B1" s="891" t="s">
        <v>619</v>
      </c>
      <c r="C1" s="619" t="s">
        <v>620</v>
      </c>
      <c r="D1" s="619" t="s">
        <v>621</v>
      </c>
      <c r="E1" s="619" t="s">
        <v>622</v>
      </c>
      <c r="F1" s="619" t="s">
        <v>623</v>
      </c>
      <c r="G1" s="619" t="s">
        <v>624</v>
      </c>
      <c r="H1" s="619" t="s">
        <v>625</v>
      </c>
      <c r="I1" s="619" t="s">
        <v>626</v>
      </c>
      <c r="J1" s="619" t="s">
        <v>627</v>
      </c>
      <c r="K1" s="619" t="s">
        <v>628</v>
      </c>
      <c r="L1" s="619" t="s">
        <v>629</v>
      </c>
      <c r="M1" s="619" t="s">
        <v>398</v>
      </c>
      <c r="N1" s="620" t="s">
        <v>630</v>
      </c>
      <c r="O1" s="621" t="s">
        <v>631</v>
      </c>
    </row>
    <row r="2" spans="1:15" x14ac:dyDescent="0.25">
      <c r="A2" s="892"/>
      <c r="B2" s="892"/>
      <c r="C2" s="616">
        <f>AVERAGE(C3:C26)</f>
        <v>8292.6994583333326</v>
      </c>
      <c r="D2" s="616">
        <f t="shared" ref="D2:G2" si="0">AVERAGE(D3:D26)</f>
        <v>82.926994583333325</v>
      </c>
      <c r="E2" s="616">
        <f t="shared" si="0"/>
        <v>47.64708333333332</v>
      </c>
      <c r="F2" s="616">
        <f t="shared" si="0"/>
        <v>863.09999999999991</v>
      </c>
      <c r="G2" s="616">
        <f t="shared" si="0"/>
        <v>849.4375</v>
      </c>
      <c r="H2" s="616">
        <f>SUM(H3:H26)</f>
        <v>3410.12</v>
      </c>
      <c r="I2" s="616">
        <f t="shared" ref="I2:L2" si="1">SUM(I3:I26)</f>
        <v>3413.8020000000001</v>
      </c>
      <c r="J2" s="616">
        <f>SUM(J3:J26)</f>
        <v>3359.7979999999993</v>
      </c>
      <c r="K2" s="616">
        <f t="shared" si="1"/>
        <v>2899.8420000000001</v>
      </c>
      <c r="L2" s="616">
        <f t="shared" si="1"/>
        <v>3359.7979999999993</v>
      </c>
      <c r="M2" s="616">
        <v>0</v>
      </c>
      <c r="N2" s="616">
        <f>AVERAGE(N3:N26)</f>
        <v>1.0072482758333332</v>
      </c>
      <c r="O2" s="616">
        <f>AVERAGE(O3:O26)</f>
        <v>0.97709820666666669</v>
      </c>
    </row>
    <row r="3" spans="1:15" x14ac:dyDescent="0.25">
      <c r="A3" s="900">
        <v>46130</v>
      </c>
      <c r="B3" s="617">
        <v>8</v>
      </c>
      <c r="C3" s="617">
        <v>8648.9009999999998</v>
      </c>
      <c r="D3" s="617">
        <v>86.489009999999993</v>
      </c>
      <c r="E3" s="617">
        <v>45.92</v>
      </c>
      <c r="F3" s="617">
        <v>863.1</v>
      </c>
      <c r="G3" s="617">
        <v>850.6</v>
      </c>
      <c r="H3" s="617">
        <v>142.21100000000001</v>
      </c>
      <c r="I3" s="617">
        <v>142.364</v>
      </c>
      <c r="J3" s="617">
        <v>140.309</v>
      </c>
      <c r="K3" s="617">
        <v>121.101</v>
      </c>
      <c r="L3" s="617">
        <v>140.309</v>
      </c>
      <c r="M3" s="617">
        <v>0</v>
      </c>
      <c r="N3" s="617">
        <v>1.00717462</v>
      </c>
      <c r="O3" s="617">
        <v>0.97853844000000001</v>
      </c>
    </row>
    <row r="4" spans="1:15" x14ac:dyDescent="0.25">
      <c r="A4" s="900">
        <v>46130</v>
      </c>
      <c r="B4" s="617">
        <v>9</v>
      </c>
      <c r="C4" s="617">
        <v>8649.2080000000005</v>
      </c>
      <c r="D4" s="617">
        <v>86.492080000000001</v>
      </c>
      <c r="E4" s="617">
        <v>46.35</v>
      </c>
      <c r="F4" s="617">
        <v>863.1</v>
      </c>
      <c r="G4" s="617">
        <v>850.3</v>
      </c>
      <c r="H4" s="617">
        <v>142.23400000000001</v>
      </c>
      <c r="I4" s="617">
        <v>142.38800000000001</v>
      </c>
      <c r="J4" s="617">
        <v>140.28100000000001</v>
      </c>
      <c r="K4" s="617">
        <v>121.077</v>
      </c>
      <c r="L4" s="617">
        <v>140.28100000000001</v>
      </c>
      <c r="M4" s="617">
        <v>0</v>
      </c>
      <c r="N4" s="617">
        <v>1.0071932400000001</v>
      </c>
      <c r="O4" s="617">
        <v>0.97817507999999997</v>
      </c>
    </row>
    <row r="5" spans="1:15" x14ac:dyDescent="0.25">
      <c r="A5" s="900">
        <v>46130</v>
      </c>
      <c r="B5" s="617">
        <v>10</v>
      </c>
      <c r="C5" s="617">
        <v>8649.0720000000001</v>
      </c>
      <c r="D5" s="617">
        <v>86.490719999999996</v>
      </c>
      <c r="E5" s="617">
        <v>46.69</v>
      </c>
      <c r="F5" s="617">
        <v>863.1</v>
      </c>
      <c r="G5" s="617">
        <v>850.1</v>
      </c>
      <c r="H5" s="617">
        <v>142.27199999999999</v>
      </c>
      <c r="I5" s="617">
        <v>142.42500000000001</v>
      </c>
      <c r="J5" s="617">
        <v>140.28100000000001</v>
      </c>
      <c r="K5" s="617">
        <v>121.07599999999999</v>
      </c>
      <c r="L5" s="617">
        <v>140.28100000000001</v>
      </c>
      <c r="M5" s="617">
        <v>0</v>
      </c>
      <c r="N5" s="617">
        <v>1.00720747</v>
      </c>
      <c r="O5" s="617">
        <v>0.97789223999999997</v>
      </c>
    </row>
    <row r="6" spans="1:15" x14ac:dyDescent="0.25">
      <c r="A6" s="900">
        <v>46130</v>
      </c>
      <c r="B6" s="617">
        <v>11</v>
      </c>
      <c r="C6" s="617">
        <v>8649.7749999999996</v>
      </c>
      <c r="D6" s="617">
        <v>86.497749999999996</v>
      </c>
      <c r="E6" s="617">
        <v>47.04</v>
      </c>
      <c r="F6" s="617">
        <v>863.1</v>
      </c>
      <c r="G6" s="617">
        <v>849.9</v>
      </c>
      <c r="H6" s="617">
        <v>141.971</v>
      </c>
      <c r="I6" s="617">
        <v>142.124</v>
      </c>
      <c r="J6" s="617">
        <v>139.94499999999999</v>
      </c>
      <c r="K6" s="617">
        <v>120.78700000000001</v>
      </c>
      <c r="L6" s="617">
        <v>139.94499999999999</v>
      </c>
      <c r="M6" s="617">
        <v>0</v>
      </c>
      <c r="N6" s="617">
        <v>1.0072226500000001</v>
      </c>
      <c r="O6" s="617">
        <v>0.97760524000000004</v>
      </c>
    </row>
    <row r="7" spans="1:15" x14ac:dyDescent="0.25">
      <c r="A7" s="900">
        <v>46130</v>
      </c>
      <c r="B7" s="617">
        <v>12</v>
      </c>
      <c r="C7" s="617">
        <v>86.495000000000005</v>
      </c>
      <c r="D7" s="617">
        <v>0.86495</v>
      </c>
      <c r="E7" s="617">
        <v>47.23</v>
      </c>
      <c r="F7" s="617">
        <v>863.1</v>
      </c>
      <c r="G7" s="617">
        <v>849.7</v>
      </c>
      <c r="H7" s="617">
        <v>142.32300000000001</v>
      </c>
      <c r="I7" s="617">
        <v>142.477</v>
      </c>
      <c r="J7" s="617">
        <v>140.27000000000001</v>
      </c>
      <c r="K7" s="617">
        <v>121.066</v>
      </c>
      <c r="L7" s="617">
        <v>140.27000000000001</v>
      </c>
      <c r="M7" s="617">
        <v>0</v>
      </c>
      <c r="N7" s="617">
        <v>1.00723074</v>
      </c>
      <c r="O7" s="617">
        <v>0.97744173999999995</v>
      </c>
    </row>
    <row r="8" spans="1:15" x14ac:dyDescent="0.25">
      <c r="A8" s="900">
        <v>46130</v>
      </c>
      <c r="B8" s="617">
        <v>13</v>
      </c>
      <c r="C8" s="617">
        <v>8649.384</v>
      </c>
      <c r="D8" s="617">
        <v>86.493840000000006</v>
      </c>
      <c r="E8" s="617">
        <v>47.38</v>
      </c>
      <c r="F8" s="617">
        <v>863.1</v>
      </c>
      <c r="G8" s="617">
        <v>849.6</v>
      </c>
      <c r="H8" s="617">
        <v>142.03299999999999</v>
      </c>
      <c r="I8" s="617">
        <v>142.18700000000001</v>
      </c>
      <c r="J8" s="617">
        <v>139.96700000000001</v>
      </c>
      <c r="K8" s="617">
        <v>120.806</v>
      </c>
      <c r="L8" s="617">
        <v>139.96700000000001</v>
      </c>
      <c r="M8" s="617">
        <v>0</v>
      </c>
      <c r="N8" s="617">
        <v>1.0072367499999999</v>
      </c>
      <c r="O8" s="617">
        <v>0.97732156999999997</v>
      </c>
    </row>
    <row r="9" spans="1:15" x14ac:dyDescent="0.25">
      <c r="A9" s="900">
        <v>46130</v>
      </c>
      <c r="B9" s="617">
        <v>14</v>
      </c>
      <c r="C9" s="617">
        <v>8649.2180000000008</v>
      </c>
      <c r="D9" s="617">
        <v>86.492180000000005</v>
      </c>
      <c r="E9" s="617">
        <v>47.51</v>
      </c>
      <c r="F9" s="617">
        <v>863.1</v>
      </c>
      <c r="G9" s="617">
        <v>849.5</v>
      </c>
      <c r="H9" s="617">
        <v>141.87100000000001</v>
      </c>
      <c r="I9" s="617">
        <v>142.024</v>
      </c>
      <c r="J9" s="617">
        <v>139.79300000000001</v>
      </c>
      <c r="K9" s="617">
        <v>120.65600000000001</v>
      </c>
      <c r="L9" s="617">
        <v>139.79300000000001</v>
      </c>
      <c r="M9" s="617">
        <v>0</v>
      </c>
      <c r="N9" s="617">
        <v>1.0072420099999999</v>
      </c>
      <c r="O9" s="617">
        <v>0.97721581999999996</v>
      </c>
    </row>
    <row r="10" spans="1:15" x14ac:dyDescent="0.25">
      <c r="A10" s="900">
        <v>46130</v>
      </c>
      <c r="B10" s="617">
        <v>15</v>
      </c>
      <c r="C10" s="617">
        <v>8650.4570000000003</v>
      </c>
      <c r="D10" s="617">
        <v>86.504570000000001</v>
      </c>
      <c r="E10" s="617">
        <v>47.59</v>
      </c>
      <c r="F10" s="617">
        <v>863.1</v>
      </c>
      <c r="G10" s="617">
        <v>849.5</v>
      </c>
      <c r="H10" s="617">
        <v>141.941</v>
      </c>
      <c r="I10" s="617">
        <v>142.09399999999999</v>
      </c>
      <c r="J10" s="617">
        <v>139.85400000000001</v>
      </c>
      <c r="K10" s="617">
        <v>120.70699999999999</v>
      </c>
      <c r="L10" s="617">
        <v>139.85400000000001</v>
      </c>
      <c r="M10" s="617">
        <v>0</v>
      </c>
      <c r="N10" s="617">
        <v>1.00724652</v>
      </c>
      <c r="O10" s="617">
        <v>0.97714780000000001</v>
      </c>
    </row>
    <row r="11" spans="1:15" x14ac:dyDescent="0.25">
      <c r="A11" s="900">
        <v>46130</v>
      </c>
      <c r="B11" s="617">
        <v>16</v>
      </c>
      <c r="C11" s="617">
        <v>8649.8449999999993</v>
      </c>
      <c r="D11" s="617">
        <v>86.498449999999991</v>
      </c>
      <c r="E11" s="617">
        <v>47.64</v>
      </c>
      <c r="F11" s="617">
        <v>863.1</v>
      </c>
      <c r="G11" s="617">
        <v>849.4</v>
      </c>
      <c r="H11" s="617">
        <v>141.79300000000001</v>
      </c>
      <c r="I11" s="617">
        <v>141.947</v>
      </c>
      <c r="J11" s="617">
        <v>139.70099999999999</v>
      </c>
      <c r="K11" s="617">
        <v>120.57599999999999</v>
      </c>
      <c r="L11" s="617">
        <v>139.70099999999999</v>
      </c>
      <c r="M11" s="617">
        <v>0</v>
      </c>
      <c r="N11" s="617">
        <v>1.00724843</v>
      </c>
      <c r="O11" s="617">
        <v>0.97710026999999999</v>
      </c>
    </row>
    <row r="12" spans="1:15" x14ac:dyDescent="0.25">
      <c r="A12" s="900">
        <v>46130</v>
      </c>
      <c r="B12" s="617">
        <v>17</v>
      </c>
      <c r="C12" s="617">
        <v>8649.3320000000003</v>
      </c>
      <c r="D12" s="617">
        <v>86.493319999999997</v>
      </c>
      <c r="E12" s="617">
        <v>47.69</v>
      </c>
      <c r="F12" s="617">
        <v>863.1</v>
      </c>
      <c r="G12" s="617">
        <v>849.4</v>
      </c>
      <c r="H12" s="617">
        <v>141.98500000000001</v>
      </c>
      <c r="I12" s="617">
        <v>142.137</v>
      </c>
      <c r="J12" s="617">
        <v>139.88499999999999</v>
      </c>
      <c r="K12" s="617">
        <v>120.735</v>
      </c>
      <c r="L12" s="617">
        <v>139.88499999999999</v>
      </c>
      <c r="M12" s="617">
        <v>0</v>
      </c>
      <c r="N12" s="617">
        <v>1.00724988</v>
      </c>
      <c r="O12" s="617">
        <v>0.97706322999999995</v>
      </c>
    </row>
    <row r="13" spans="1:15" x14ac:dyDescent="0.25">
      <c r="A13" s="900">
        <v>46130</v>
      </c>
      <c r="B13" s="617">
        <v>18</v>
      </c>
      <c r="C13" s="617">
        <v>8649.2669999999998</v>
      </c>
      <c r="D13" s="617">
        <v>86.492670000000004</v>
      </c>
      <c r="E13" s="617">
        <v>47.68</v>
      </c>
      <c r="F13" s="617">
        <v>863.1</v>
      </c>
      <c r="G13" s="617">
        <v>849.4</v>
      </c>
      <c r="H13" s="617">
        <v>142.19999999999999</v>
      </c>
      <c r="I13" s="617">
        <v>142.35400000000001</v>
      </c>
      <c r="J13" s="617">
        <v>140.09700000000001</v>
      </c>
      <c r="K13" s="617">
        <v>120.91800000000001</v>
      </c>
      <c r="L13" s="617">
        <v>140.09700000000001</v>
      </c>
      <c r="M13" s="617">
        <v>0</v>
      </c>
      <c r="N13" s="617">
        <v>1.00724955</v>
      </c>
      <c r="O13" s="617">
        <v>0.97706852</v>
      </c>
    </row>
    <row r="14" spans="1:15" x14ac:dyDescent="0.25">
      <c r="A14" s="900">
        <v>46130</v>
      </c>
      <c r="B14" s="617">
        <v>19</v>
      </c>
      <c r="C14" s="617">
        <v>8650.4570000000003</v>
      </c>
      <c r="D14" s="617">
        <v>86.504570000000001</v>
      </c>
      <c r="E14" s="617">
        <v>47.68</v>
      </c>
      <c r="F14" s="617">
        <v>863.1</v>
      </c>
      <c r="G14" s="617">
        <v>849.4</v>
      </c>
      <c r="H14" s="617">
        <v>142.06200000000001</v>
      </c>
      <c r="I14" s="617">
        <v>142.21600000000001</v>
      </c>
      <c r="J14" s="617">
        <v>139.96199999999999</v>
      </c>
      <c r="K14" s="617">
        <v>120.801</v>
      </c>
      <c r="L14" s="617">
        <v>139.96199999999999</v>
      </c>
      <c r="M14" s="617">
        <v>0</v>
      </c>
      <c r="N14" s="617">
        <v>1.00725054</v>
      </c>
      <c r="O14" s="617">
        <v>0.97706886999999998</v>
      </c>
    </row>
    <row r="15" spans="1:15" x14ac:dyDescent="0.25">
      <c r="A15" s="900">
        <v>46130</v>
      </c>
      <c r="B15" s="617">
        <v>20</v>
      </c>
      <c r="C15" s="617">
        <v>8649.2659999999996</v>
      </c>
      <c r="D15" s="617">
        <v>86.492660000000001</v>
      </c>
      <c r="E15" s="617">
        <v>47.7</v>
      </c>
      <c r="F15" s="617">
        <v>863.1</v>
      </c>
      <c r="G15" s="617">
        <v>849.4</v>
      </c>
      <c r="H15" s="617">
        <v>142.15700000000001</v>
      </c>
      <c r="I15" s="617">
        <v>142.31</v>
      </c>
      <c r="J15" s="617">
        <v>140.054</v>
      </c>
      <c r="K15" s="617">
        <v>120.88</v>
      </c>
      <c r="L15" s="617">
        <v>140.054</v>
      </c>
      <c r="M15" s="617">
        <v>0</v>
      </c>
      <c r="N15" s="617">
        <v>1.0072501700000001</v>
      </c>
      <c r="O15" s="617">
        <v>0.97705629999999999</v>
      </c>
    </row>
    <row r="16" spans="1:15" x14ac:dyDescent="0.25">
      <c r="A16" s="900">
        <v>46130</v>
      </c>
      <c r="B16" s="617">
        <v>21</v>
      </c>
      <c r="C16" s="617">
        <v>8649.39</v>
      </c>
      <c r="D16" s="617">
        <v>86.493899999999996</v>
      </c>
      <c r="E16" s="617">
        <v>47.76</v>
      </c>
      <c r="F16" s="617">
        <v>863.1</v>
      </c>
      <c r="G16" s="617">
        <v>849.4</v>
      </c>
      <c r="H16" s="617">
        <v>142.02799999999999</v>
      </c>
      <c r="I16" s="617">
        <v>142.18100000000001</v>
      </c>
      <c r="J16" s="617">
        <v>139.91800000000001</v>
      </c>
      <c r="K16" s="617">
        <v>120.764</v>
      </c>
      <c r="L16" s="617">
        <v>139.91800000000001</v>
      </c>
      <c r="M16" s="617">
        <v>0</v>
      </c>
      <c r="N16" s="617">
        <v>1.0072531</v>
      </c>
      <c r="O16" s="617">
        <v>0.97700116999999997</v>
      </c>
    </row>
    <row r="17" spans="1:15" x14ac:dyDescent="0.25">
      <c r="A17" s="900">
        <v>46130</v>
      </c>
      <c r="B17" s="617">
        <v>22</v>
      </c>
      <c r="C17" s="617">
        <v>8649.4920000000002</v>
      </c>
      <c r="D17" s="617">
        <v>86.494920000000008</v>
      </c>
      <c r="E17" s="617">
        <v>47.85</v>
      </c>
      <c r="F17" s="617">
        <v>863.1</v>
      </c>
      <c r="G17" s="617">
        <v>849.3</v>
      </c>
      <c r="H17" s="617">
        <v>142.04900000000001</v>
      </c>
      <c r="I17" s="617">
        <v>142.202</v>
      </c>
      <c r="J17" s="617">
        <v>139.93</v>
      </c>
      <c r="K17" s="617">
        <v>120.773</v>
      </c>
      <c r="L17" s="617">
        <v>139.93</v>
      </c>
      <c r="M17" s="617">
        <v>0</v>
      </c>
      <c r="N17" s="617">
        <v>1.0072569200000001</v>
      </c>
      <c r="O17" s="617">
        <v>0.97692791000000001</v>
      </c>
    </row>
    <row r="18" spans="1:15" x14ac:dyDescent="0.25">
      <c r="A18" s="900">
        <v>46130</v>
      </c>
      <c r="B18" s="617">
        <v>23</v>
      </c>
      <c r="C18" s="617">
        <v>8649.3089999999993</v>
      </c>
      <c r="D18" s="617">
        <v>86.493089999999995</v>
      </c>
      <c r="E18" s="617">
        <v>47.9</v>
      </c>
      <c r="F18" s="617">
        <v>863.1</v>
      </c>
      <c r="G18" s="617">
        <v>849.3</v>
      </c>
      <c r="H18" s="617">
        <v>142.04</v>
      </c>
      <c r="I18" s="617">
        <v>142.19399999999999</v>
      </c>
      <c r="J18" s="617">
        <v>139.91499999999999</v>
      </c>
      <c r="K18" s="617">
        <v>120.761</v>
      </c>
      <c r="L18" s="617">
        <v>139.91499999999999</v>
      </c>
      <c r="M18" s="617">
        <v>0</v>
      </c>
      <c r="N18" s="617">
        <v>1.0072588</v>
      </c>
      <c r="O18" s="617">
        <v>0.97688812000000003</v>
      </c>
    </row>
    <row r="19" spans="1:15" x14ac:dyDescent="0.25">
      <c r="A19" s="900">
        <v>46131</v>
      </c>
      <c r="B19" s="617">
        <v>24</v>
      </c>
      <c r="C19" s="617">
        <v>8649.6589999999997</v>
      </c>
      <c r="D19" s="617">
        <v>86.496589999999998</v>
      </c>
      <c r="E19" s="617">
        <v>48.04</v>
      </c>
      <c r="F19" s="617">
        <v>863.1</v>
      </c>
      <c r="G19" s="617">
        <v>849.2</v>
      </c>
      <c r="H19" s="617">
        <v>141.96700000000001</v>
      </c>
      <c r="I19" s="617">
        <v>142.12</v>
      </c>
      <c r="J19" s="617">
        <v>139.828</v>
      </c>
      <c r="K19" s="617">
        <v>120.68600000000001</v>
      </c>
      <c r="L19" s="617">
        <v>139.828</v>
      </c>
      <c r="M19" s="617">
        <v>0</v>
      </c>
      <c r="N19" s="617">
        <v>1.00726498</v>
      </c>
      <c r="O19" s="617">
        <v>0.97677320000000001</v>
      </c>
    </row>
    <row r="20" spans="1:15" x14ac:dyDescent="0.25">
      <c r="A20" s="900">
        <v>46131</v>
      </c>
      <c r="B20" s="617">
        <v>1</v>
      </c>
      <c r="C20" s="617">
        <v>8649.4069999999992</v>
      </c>
      <c r="D20" s="617">
        <v>86.494069999999994</v>
      </c>
      <c r="E20" s="617">
        <v>48.19</v>
      </c>
      <c r="F20" s="617">
        <v>863.1</v>
      </c>
      <c r="G20" s="617">
        <v>849.1</v>
      </c>
      <c r="H20" s="617">
        <v>142.08000000000001</v>
      </c>
      <c r="I20" s="617">
        <v>142.23400000000001</v>
      </c>
      <c r="J20" s="617">
        <v>139.923</v>
      </c>
      <c r="K20" s="617">
        <v>120.767</v>
      </c>
      <c r="L20" s="617">
        <v>139.923</v>
      </c>
      <c r="M20" s="617">
        <v>0</v>
      </c>
      <c r="N20" s="617">
        <v>1.00727108</v>
      </c>
      <c r="O20" s="617">
        <v>0.97664963000000005</v>
      </c>
    </row>
    <row r="21" spans="1:15" x14ac:dyDescent="0.25">
      <c r="A21" s="900">
        <v>46131</v>
      </c>
      <c r="B21" s="617">
        <v>2</v>
      </c>
      <c r="C21" s="617">
        <v>8649.81</v>
      </c>
      <c r="D21" s="617">
        <v>86.498099999999994</v>
      </c>
      <c r="E21" s="617">
        <v>48.24</v>
      </c>
      <c r="F21" s="617">
        <v>863.1</v>
      </c>
      <c r="G21" s="617">
        <v>849</v>
      </c>
      <c r="H21" s="617">
        <v>141.92400000000001</v>
      </c>
      <c r="I21" s="617">
        <v>142.078</v>
      </c>
      <c r="J21" s="617">
        <v>139.76300000000001</v>
      </c>
      <c r="K21" s="617">
        <v>120.63</v>
      </c>
      <c r="L21" s="617">
        <v>139.76300000000001</v>
      </c>
      <c r="M21" s="617">
        <v>0</v>
      </c>
      <c r="N21" s="617">
        <v>1.0072736200000001</v>
      </c>
      <c r="O21" s="617">
        <v>0.97660648000000005</v>
      </c>
    </row>
    <row r="22" spans="1:15" x14ac:dyDescent="0.25">
      <c r="A22" s="900">
        <v>46131</v>
      </c>
      <c r="B22" s="617">
        <v>3</v>
      </c>
      <c r="C22" s="617">
        <v>8648.9740000000002</v>
      </c>
      <c r="D22" s="617">
        <v>86.489739999999998</v>
      </c>
      <c r="E22" s="617">
        <v>48.26</v>
      </c>
      <c r="F22" s="617">
        <v>863.1</v>
      </c>
      <c r="G22" s="617">
        <v>849</v>
      </c>
      <c r="H22" s="617">
        <v>143.10400000000001</v>
      </c>
      <c r="I22" s="617">
        <v>143.25700000000001</v>
      </c>
      <c r="J22" s="617">
        <v>140.92099999999999</v>
      </c>
      <c r="K22" s="617">
        <v>121.629</v>
      </c>
      <c r="L22" s="617">
        <v>140.92099999999999</v>
      </c>
      <c r="M22" s="617">
        <v>0</v>
      </c>
      <c r="N22" s="617">
        <v>1.0072738999999999</v>
      </c>
      <c r="O22" s="617">
        <v>0.97658739000000006</v>
      </c>
    </row>
    <row r="23" spans="1:15" x14ac:dyDescent="0.25">
      <c r="A23" s="900">
        <v>46131</v>
      </c>
      <c r="B23" s="617">
        <v>4</v>
      </c>
      <c r="C23" s="617">
        <v>8650.0630000000001</v>
      </c>
      <c r="D23" s="617">
        <v>86.500630000000001</v>
      </c>
      <c r="E23" s="617">
        <v>48.31</v>
      </c>
      <c r="F23" s="617">
        <v>863.1</v>
      </c>
      <c r="G23" s="617">
        <v>849</v>
      </c>
      <c r="H23" s="617">
        <v>141.85599999999999</v>
      </c>
      <c r="I23" s="617">
        <v>142.01</v>
      </c>
      <c r="J23" s="617">
        <v>139.68899999999999</v>
      </c>
      <c r="K23" s="617">
        <v>120.565</v>
      </c>
      <c r="L23" s="617">
        <v>139.68899999999999</v>
      </c>
      <c r="M23" s="617">
        <v>0</v>
      </c>
      <c r="N23" s="617">
        <v>1.00727681</v>
      </c>
      <c r="O23" s="617">
        <v>0.97654872999999998</v>
      </c>
    </row>
    <row r="24" spans="1:15" x14ac:dyDescent="0.25">
      <c r="A24" s="900">
        <v>46131</v>
      </c>
      <c r="B24" s="617">
        <v>5</v>
      </c>
      <c r="C24" s="617">
        <v>8648.9670000000006</v>
      </c>
      <c r="D24" s="617">
        <v>86.489670000000004</v>
      </c>
      <c r="E24" s="617">
        <v>48.32</v>
      </c>
      <c r="F24" s="617">
        <v>863.1</v>
      </c>
      <c r="G24" s="617">
        <v>849</v>
      </c>
      <c r="H24" s="617">
        <v>142.15899999999999</v>
      </c>
      <c r="I24" s="617">
        <v>142.31299999999999</v>
      </c>
      <c r="J24" s="617">
        <v>139.98500000000001</v>
      </c>
      <c r="K24" s="617">
        <v>120.821</v>
      </c>
      <c r="L24" s="617">
        <v>139.98500000000001</v>
      </c>
      <c r="M24" s="617">
        <v>0</v>
      </c>
      <c r="N24" s="617">
        <v>1.0072762900000001</v>
      </c>
      <c r="O24" s="617">
        <v>0.97654032999999996</v>
      </c>
    </row>
    <row r="25" spans="1:15" x14ac:dyDescent="0.25">
      <c r="A25" s="900">
        <v>46131</v>
      </c>
      <c r="B25" s="617">
        <v>6</v>
      </c>
      <c r="C25" s="617">
        <v>8650.0110000000004</v>
      </c>
      <c r="D25" s="617">
        <v>86.500110000000006</v>
      </c>
      <c r="E25" s="617">
        <v>48.3</v>
      </c>
      <c r="F25" s="617">
        <v>863.1</v>
      </c>
      <c r="G25" s="617">
        <v>849</v>
      </c>
      <c r="H25" s="617">
        <v>141.84200000000001</v>
      </c>
      <c r="I25" s="617">
        <v>141.995</v>
      </c>
      <c r="J25" s="617">
        <v>139.67500000000001</v>
      </c>
      <c r="K25" s="617">
        <v>120.554</v>
      </c>
      <c r="L25" s="617">
        <v>139.67500000000001</v>
      </c>
      <c r="M25" s="617">
        <v>0</v>
      </c>
      <c r="N25" s="617">
        <v>1.0072764999999999</v>
      </c>
      <c r="O25" s="617">
        <v>0.97655365000000005</v>
      </c>
    </row>
    <row r="26" spans="1:15" x14ac:dyDescent="0.25">
      <c r="A26" s="900">
        <v>46131</v>
      </c>
      <c r="B26" s="617">
        <v>7</v>
      </c>
      <c r="C26" s="617">
        <v>8649.0280000000002</v>
      </c>
      <c r="D26" s="617">
        <v>86.490279999999998</v>
      </c>
      <c r="E26" s="617">
        <v>48.26</v>
      </c>
      <c r="F26" s="617">
        <v>863.1</v>
      </c>
      <c r="G26" s="617">
        <v>849</v>
      </c>
      <c r="H26" s="617">
        <v>142.018</v>
      </c>
      <c r="I26" s="617">
        <v>142.17099999999999</v>
      </c>
      <c r="J26" s="617">
        <v>139.852</v>
      </c>
      <c r="K26" s="617">
        <v>120.706</v>
      </c>
      <c r="L26" s="617">
        <v>139.852</v>
      </c>
      <c r="M26" s="617">
        <v>0</v>
      </c>
      <c r="N26" s="617">
        <v>1.0072740499999999</v>
      </c>
      <c r="O26" s="617">
        <v>0.97658522999999997</v>
      </c>
    </row>
    <row r="30" spans="1:15" ht="15.75" thickBot="1" x14ac:dyDescent="0.3"/>
    <row r="31" spans="1:15" ht="31.5" x14ac:dyDescent="0.25">
      <c r="B31" s="12" t="s">
        <v>502</v>
      </c>
      <c r="C31" s="619" t="s">
        <v>620</v>
      </c>
      <c r="D31" s="619" t="s">
        <v>621</v>
      </c>
      <c r="E31" s="619" t="s">
        <v>622</v>
      </c>
      <c r="F31" s="619" t="s">
        <v>623</v>
      </c>
      <c r="G31" s="619" t="s">
        <v>624</v>
      </c>
      <c r="H31" s="619" t="s">
        <v>625</v>
      </c>
      <c r="I31" s="619" t="s">
        <v>626</v>
      </c>
      <c r="J31" s="619" t="s">
        <v>627</v>
      </c>
      <c r="K31" s="619" t="s">
        <v>628</v>
      </c>
      <c r="L31" s="619" t="s">
        <v>629</v>
      </c>
      <c r="M31" s="619" t="s">
        <v>398</v>
      </c>
      <c r="N31" s="620" t="s">
        <v>630</v>
      </c>
      <c r="O31" s="621" t="s">
        <v>631</v>
      </c>
    </row>
    <row r="32" spans="1:15" x14ac:dyDescent="0.25">
      <c r="B32" s="724">
        <v>46109</v>
      </c>
      <c r="C32" s="633">
        <v>8472.4629999999997</v>
      </c>
      <c r="D32" s="633">
        <v>84.724629999999991</v>
      </c>
      <c r="E32" s="633">
        <v>61.81</v>
      </c>
      <c r="F32" s="633">
        <v>863.1</v>
      </c>
      <c r="G32" s="633">
        <v>839.5</v>
      </c>
      <c r="H32" s="633">
        <v>6201.86</v>
      </c>
      <c r="I32" s="633">
        <v>6197.3320000000003</v>
      </c>
      <c r="J32" s="633">
        <v>6028.2110000000002</v>
      </c>
      <c r="K32" s="633">
        <v>5202.9489999999996</v>
      </c>
      <c r="L32" s="633">
        <v>6028.2110000000002</v>
      </c>
      <c r="M32" s="633">
        <v>0</v>
      </c>
      <c r="N32" s="633">
        <v>1.0077134599999999</v>
      </c>
      <c r="O32" s="633">
        <v>0.96526544000000003</v>
      </c>
    </row>
    <row r="33" spans="2:15" x14ac:dyDescent="0.25">
      <c r="B33" s="724">
        <v>46110</v>
      </c>
      <c r="C33" s="633">
        <v>8597.42</v>
      </c>
      <c r="D33" s="633">
        <v>85.974199999999996</v>
      </c>
      <c r="E33" s="633">
        <v>51.96</v>
      </c>
      <c r="F33" s="633">
        <v>863.1</v>
      </c>
      <c r="G33" s="633">
        <v>846.4</v>
      </c>
      <c r="H33" s="633">
        <v>4436.8090000000002</v>
      </c>
      <c r="I33" s="633">
        <v>4437.2759999999998</v>
      </c>
      <c r="J33" s="633">
        <v>4351.5590000000002</v>
      </c>
      <c r="K33" s="633">
        <v>3755.8310000000001</v>
      </c>
      <c r="L33" s="633">
        <v>4351.5590000000002</v>
      </c>
      <c r="M33" s="633">
        <v>0</v>
      </c>
      <c r="N33" s="633">
        <v>1.0073920999999999</v>
      </c>
      <c r="O33" s="633">
        <v>0.97348884000000002</v>
      </c>
    </row>
    <row r="34" spans="2:15" x14ac:dyDescent="0.25">
      <c r="B34" s="724">
        <v>46111</v>
      </c>
      <c r="C34" s="634">
        <v>8410.6579999999994</v>
      </c>
      <c r="D34" s="634">
        <v>84.106579999999994</v>
      </c>
      <c r="E34" s="634">
        <v>60.83</v>
      </c>
      <c r="F34" s="634">
        <v>863.1</v>
      </c>
      <c r="G34" s="634">
        <v>840.2</v>
      </c>
      <c r="H34" s="634">
        <v>5362.43</v>
      </c>
      <c r="I34" s="634">
        <v>5357.232</v>
      </c>
      <c r="J34" s="634">
        <v>5214.884</v>
      </c>
      <c r="K34" s="634">
        <v>4500.9660000000003</v>
      </c>
      <c r="L34" s="634">
        <v>5214.884</v>
      </c>
      <c r="M34" s="634">
        <v>0</v>
      </c>
      <c r="N34" s="634">
        <v>1.0076262199999999</v>
      </c>
      <c r="O34" s="634">
        <v>0.96606535999999998</v>
      </c>
    </row>
    <row r="35" spans="2:15" x14ac:dyDescent="0.25">
      <c r="B35" s="915" t="s">
        <v>733</v>
      </c>
      <c r="C35" s="190">
        <v>8292.6994583333326</v>
      </c>
      <c r="D35" s="190">
        <v>82.926994583333325</v>
      </c>
      <c r="E35" s="190">
        <v>47.64708333333332</v>
      </c>
      <c r="F35" s="190">
        <v>863.09999999999991</v>
      </c>
      <c r="G35" s="190">
        <v>849.4375</v>
      </c>
      <c r="H35" s="190">
        <v>3410.12</v>
      </c>
      <c r="I35" s="190">
        <v>3413.8020000000001</v>
      </c>
      <c r="J35" s="190">
        <v>3359.7979999999993</v>
      </c>
      <c r="K35" s="190">
        <v>2899.8420000000001</v>
      </c>
      <c r="L35" s="190">
        <v>3359.7979999999993</v>
      </c>
      <c r="M35" s="190">
        <v>0</v>
      </c>
      <c r="N35" s="190">
        <v>1.0072482758333332</v>
      </c>
      <c r="O35" s="190">
        <v>0.97709820666666669</v>
      </c>
    </row>
  </sheetData>
  <mergeCells count="2">
    <mergeCell ref="A1:A2"/>
    <mergeCell ref="B1:B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F11D7-ED10-4689-B2AB-FDB68805872A}">
  <sheetPr>
    <tabColor rgb="FFFF0000"/>
  </sheetPr>
  <dimension ref="A1:L28"/>
  <sheetViews>
    <sheetView workbookViewId="0">
      <selection activeCell="F3" sqref="F3"/>
    </sheetView>
  </sheetViews>
  <sheetFormatPr defaultRowHeight="15" x14ac:dyDescent="0.25"/>
  <cols>
    <col min="1" max="1" width="10.7109375" bestFit="1" customWidth="1"/>
    <col min="2" max="2" width="10.85546875" customWidth="1"/>
    <col min="3" max="3" width="13" customWidth="1"/>
    <col min="4" max="4" width="17" customWidth="1"/>
    <col min="5" max="7" width="10.85546875" customWidth="1"/>
    <col min="8" max="8" width="14" customWidth="1"/>
    <col min="9" max="12" width="10.85546875" customWidth="1"/>
    <col min="16" max="16" width="19.42578125" customWidth="1"/>
  </cols>
  <sheetData>
    <row r="1" spans="1:12" ht="15.75" thickBot="1" x14ac:dyDescent="0.3">
      <c r="B1" s="897" t="s">
        <v>726</v>
      </c>
      <c r="C1" s="880"/>
      <c r="D1" s="880"/>
      <c r="E1" s="899"/>
      <c r="F1" s="880"/>
      <c r="G1" s="880"/>
      <c r="H1" s="880"/>
      <c r="I1" s="880"/>
      <c r="J1" s="880"/>
      <c r="K1" s="880"/>
      <c r="L1" s="880"/>
    </row>
    <row r="2" spans="1:12" ht="47.25" x14ac:dyDescent="0.25">
      <c r="A2" s="893" t="s">
        <v>618</v>
      </c>
      <c r="B2" s="622" t="s">
        <v>503</v>
      </c>
      <c r="C2" s="623" t="s">
        <v>632</v>
      </c>
      <c r="D2" s="623" t="s">
        <v>622</v>
      </c>
      <c r="E2" s="623" t="s">
        <v>623</v>
      </c>
      <c r="F2" s="623" t="s">
        <v>633</v>
      </c>
      <c r="G2" s="623" t="s">
        <v>634</v>
      </c>
      <c r="H2" s="623" t="s">
        <v>635</v>
      </c>
      <c r="I2" s="623" t="s">
        <v>628</v>
      </c>
      <c r="J2" s="624" t="s">
        <v>636</v>
      </c>
      <c r="K2" s="625" t="s">
        <v>637</v>
      </c>
      <c r="L2" s="626" t="s">
        <v>638</v>
      </c>
    </row>
    <row r="3" spans="1:12" x14ac:dyDescent="0.25">
      <c r="A3" s="894"/>
      <c r="B3" s="661">
        <f>COUNT(B4:B27)</f>
        <v>24</v>
      </c>
      <c r="C3" s="627">
        <f>AVERAGE(C4:C27)</f>
        <v>8631.7621249999993</v>
      </c>
      <c r="D3" s="627">
        <f t="shared" ref="D3:E3" si="0">AVERAGE(D4:D27)</f>
        <v>47.630833333333328</v>
      </c>
      <c r="E3" s="627">
        <f t="shared" si="0"/>
        <v>0.82620000000000005</v>
      </c>
      <c r="F3" s="627">
        <f>AVERAGE(F4:F27)</f>
        <v>78.127500000000012</v>
      </c>
      <c r="G3" s="627">
        <f>SUM(G4:G27)</f>
        <v>8471.9000000000015</v>
      </c>
      <c r="H3" s="627">
        <f t="shared" ref="H3:I3" si="1">SUM(H4:H27)</f>
        <v>801135</v>
      </c>
      <c r="I3" s="627">
        <f>SUM(I4:I27)</f>
        <v>661.89159999999981</v>
      </c>
      <c r="J3" s="627">
        <f>AVERAGE(J4:J27)</f>
        <v>1474.3500000000001</v>
      </c>
      <c r="K3" s="627">
        <f>AVERAGE(K4:K27)</f>
        <v>1.4614999999999998</v>
      </c>
      <c r="L3" s="627">
        <f>SUM(L4:L27)</f>
        <v>1440</v>
      </c>
    </row>
    <row r="4" spans="1:12" x14ac:dyDescent="0.25">
      <c r="A4" s="900">
        <v>46130</v>
      </c>
      <c r="B4" s="617">
        <v>8</v>
      </c>
      <c r="C4" s="628">
        <v>8631.6550000000007</v>
      </c>
      <c r="D4" s="628">
        <v>46.12</v>
      </c>
      <c r="E4" s="628">
        <v>0.82620000000000005</v>
      </c>
      <c r="F4" s="628">
        <v>78.819999999999993</v>
      </c>
      <c r="G4" s="628">
        <v>350.6</v>
      </c>
      <c r="H4" s="628">
        <v>33444.699999999997</v>
      </c>
      <c r="I4" s="628">
        <v>27.631799999999998</v>
      </c>
      <c r="J4" s="628">
        <v>1477.2</v>
      </c>
      <c r="K4" s="628">
        <v>1.454</v>
      </c>
      <c r="L4" s="628">
        <v>60</v>
      </c>
    </row>
    <row r="5" spans="1:12" x14ac:dyDescent="0.25">
      <c r="A5" s="900">
        <v>46130</v>
      </c>
      <c r="B5" s="617">
        <v>9</v>
      </c>
      <c r="C5" s="628">
        <v>8631.9269999999997</v>
      </c>
      <c r="D5" s="628">
        <v>46.53</v>
      </c>
      <c r="E5" s="628">
        <v>0.82620000000000005</v>
      </c>
      <c r="F5" s="628">
        <v>78.63</v>
      </c>
      <c r="G5" s="628">
        <v>353.4</v>
      </c>
      <c r="H5" s="628">
        <v>33633</v>
      </c>
      <c r="I5" s="628">
        <v>27.787299999999998</v>
      </c>
      <c r="J5" s="628">
        <v>1485.5</v>
      </c>
      <c r="K5" s="628">
        <v>1.474</v>
      </c>
      <c r="L5" s="628">
        <v>60</v>
      </c>
    </row>
    <row r="6" spans="1:12" x14ac:dyDescent="0.25">
      <c r="A6" s="900">
        <v>46130</v>
      </c>
      <c r="B6" s="617">
        <v>10</v>
      </c>
      <c r="C6" s="628">
        <v>8631.5849999999991</v>
      </c>
      <c r="D6" s="628">
        <v>46.86</v>
      </c>
      <c r="E6" s="628">
        <v>0.82620000000000005</v>
      </c>
      <c r="F6" s="628">
        <v>78.48</v>
      </c>
      <c r="G6" s="628">
        <v>354</v>
      </c>
      <c r="H6" s="628">
        <v>33626.1</v>
      </c>
      <c r="I6" s="628">
        <v>27.781600000000001</v>
      </c>
      <c r="J6" s="628">
        <v>1485.2</v>
      </c>
      <c r="K6" s="628">
        <v>1.476</v>
      </c>
      <c r="L6" s="628">
        <v>60</v>
      </c>
    </row>
    <row r="7" spans="1:12" x14ac:dyDescent="0.25">
      <c r="A7" s="900">
        <v>46130</v>
      </c>
      <c r="B7" s="617">
        <v>11</v>
      </c>
      <c r="C7" s="628">
        <v>8631.991</v>
      </c>
      <c r="D7" s="628">
        <v>47.17</v>
      </c>
      <c r="E7" s="628">
        <v>0.82620000000000005</v>
      </c>
      <c r="F7" s="628">
        <v>78.34</v>
      </c>
      <c r="G7" s="628">
        <v>355.2</v>
      </c>
      <c r="H7" s="628">
        <v>33680.199999999997</v>
      </c>
      <c r="I7" s="628">
        <v>27.8264</v>
      </c>
      <c r="J7" s="628">
        <v>1487.6</v>
      </c>
      <c r="K7" s="628">
        <v>1.484</v>
      </c>
      <c r="L7" s="628">
        <v>60</v>
      </c>
    </row>
    <row r="8" spans="1:12" x14ac:dyDescent="0.25">
      <c r="A8" s="900">
        <v>46130</v>
      </c>
      <c r="B8" s="617">
        <v>12</v>
      </c>
      <c r="C8" s="628">
        <v>8631.6749999999993</v>
      </c>
      <c r="D8" s="628">
        <v>47.32</v>
      </c>
      <c r="E8" s="628">
        <v>0.82620000000000005</v>
      </c>
      <c r="F8" s="628">
        <v>78.27</v>
      </c>
      <c r="G8" s="628">
        <v>355.1</v>
      </c>
      <c r="H8" s="628">
        <v>33641.1</v>
      </c>
      <c r="I8" s="628">
        <v>27.794</v>
      </c>
      <c r="J8" s="628">
        <v>1485.8</v>
      </c>
      <c r="K8" s="628">
        <v>1.482</v>
      </c>
      <c r="L8" s="628">
        <v>60</v>
      </c>
    </row>
    <row r="9" spans="1:12" x14ac:dyDescent="0.25">
      <c r="A9" s="900">
        <v>46130</v>
      </c>
      <c r="B9" s="617">
        <v>13</v>
      </c>
      <c r="C9" s="628">
        <v>8631.0439999999999</v>
      </c>
      <c r="D9" s="628">
        <v>47.44</v>
      </c>
      <c r="E9" s="628">
        <v>0.82620000000000005</v>
      </c>
      <c r="F9" s="628">
        <v>78.209999999999994</v>
      </c>
      <c r="G9" s="628">
        <v>353.3</v>
      </c>
      <c r="H9" s="628">
        <v>33438.9</v>
      </c>
      <c r="I9" s="628">
        <v>27.626899999999999</v>
      </c>
      <c r="J9" s="628">
        <v>1476.9</v>
      </c>
      <c r="K9" s="628">
        <v>1.4650000000000001</v>
      </c>
      <c r="L9" s="628">
        <v>60</v>
      </c>
    </row>
    <row r="10" spans="1:12" x14ac:dyDescent="0.25">
      <c r="A10" s="900">
        <v>46130</v>
      </c>
      <c r="B10" s="617">
        <v>14</v>
      </c>
      <c r="C10" s="628">
        <v>8630.91</v>
      </c>
      <c r="D10" s="628">
        <v>47.54</v>
      </c>
      <c r="E10" s="628">
        <v>0.82620000000000005</v>
      </c>
      <c r="F10" s="628">
        <v>78.16</v>
      </c>
      <c r="G10" s="628">
        <v>355.4</v>
      </c>
      <c r="H10" s="628">
        <v>33629.9</v>
      </c>
      <c r="I10" s="628">
        <v>27.784800000000001</v>
      </c>
      <c r="J10" s="628">
        <v>1485.4</v>
      </c>
      <c r="K10" s="628">
        <v>1.4830000000000001</v>
      </c>
      <c r="L10" s="628">
        <v>60</v>
      </c>
    </row>
    <row r="11" spans="1:12" x14ac:dyDescent="0.25">
      <c r="A11" s="900">
        <v>46130</v>
      </c>
      <c r="B11" s="617">
        <v>15</v>
      </c>
      <c r="C11" s="628">
        <v>8631.6170000000002</v>
      </c>
      <c r="D11" s="628">
        <v>47.59</v>
      </c>
      <c r="E11" s="628">
        <v>0.82620000000000005</v>
      </c>
      <c r="F11" s="628">
        <v>78.14</v>
      </c>
      <c r="G11" s="628">
        <v>353.1</v>
      </c>
      <c r="H11" s="628">
        <v>33393.800000000003</v>
      </c>
      <c r="I11" s="628">
        <v>27.589700000000001</v>
      </c>
      <c r="J11" s="628">
        <v>1474.9</v>
      </c>
      <c r="K11" s="628">
        <v>1.462</v>
      </c>
      <c r="L11" s="628">
        <v>60</v>
      </c>
    </row>
    <row r="12" spans="1:12" x14ac:dyDescent="0.25">
      <c r="A12" s="900">
        <v>46130</v>
      </c>
      <c r="B12" s="617">
        <v>16</v>
      </c>
      <c r="C12" s="628">
        <v>8631.5159999999996</v>
      </c>
      <c r="D12" s="628">
        <v>47.62</v>
      </c>
      <c r="E12" s="628">
        <v>0.82620000000000005</v>
      </c>
      <c r="F12" s="628">
        <v>78.13</v>
      </c>
      <c r="G12" s="628">
        <v>352.5</v>
      </c>
      <c r="H12" s="628">
        <v>33337.800000000003</v>
      </c>
      <c r="I12" s="628">
        <v>27.543399999999998</v>
      </c>
      <c r="J12" s="628">
        <v>1472.5</v>
      </c>
      <c r="K12" s="628">
        <v>1.4570000000000001</v>
      </c>
      <c r="L12" s="628">
        <v>60</v>
      </c>
    </row>
    <row r="13" spans="1:12" x14ac:dyDescent="0.25">
      <c r="A13" s="900">
        <v>46130</v>
      </c>
      <c r="B13" s="617">
        <v>17</v>
      </c>
      <c r="C13" s="628">
        <v>8631.2569999999996</v>
      </c>
      <c r="D13" s="628">
        <v>47.66</v>
      </c>
      <c r="E13" s="628">
        <v>0.82620000000000005</v>
      </c>
      <c r="F13" s="628">
        <v>78.11</v>
      </c>
      <c r="G13" s="628">
        <v>351.9</v>
      </c>
      <c r="H13" s="628">
        <v>33269.199999999997</v>
      </c>
      <c r="I13" s="628">
        <v>27.486799999999999</v>
      </c>
      <c r="J13" s="628">
        <v>1469.4</v>
      </c>
      <c r="K13" s="628">
        <v>1.452</v>
      </c>
      <c r="L13" s="628">
        <v>60</v>
      </c>
    </row>
    <row r="14" spans="1:12" x14ac:dyDescent="0.25">
      <c r="A14" s="900">
        <v>46130</v>
      </c>
      <c r="B14" s="617">
        <v>18</v>
      </c>
      <c r="C14" s="628">
        <v>8631.3970000000008</v>
      </c>
      <c r="D14" s="628">
        <v>47.61</v>
      </c>
      <c r="E14" s="628">
        <v>0.82620000000000005</v>
      </c>
      <c r="F14" s="628">
        <v>78.13</v>
      </c>
      <c r="G14" s="628">
        <v>352.1</v>
      </c>
      <c r="H14" s="628">
        <v>33297.300000000003</v>
      </c>
      <c r="I14" s="628">
        <v>27.51</v>
      </c>
      <c r="J14" s="628">
        <v>1470.7</v>
      </c>
      <c r="K14" s="628">
        <v>1.454</v>
      </c>
      <c r="L14" s="628">
        <v>60</v>
      </c>
    </row>
    <row r="15" spans="1:12" x14ac:dyDescent="0.25">
      <c r="A15" s="900">
        <v>46130</v>
      </c>
      <c r="B15" s="617">
        <v>19</v>
      </c>
      <c r="C15" s="628">
        <v>8632.6540000000005</v>
      </c>
      <c r="D15" s="628">
        <v>47.61</v>
      </c>
      <c r="E15" s="628">
        <v>0.82620000000000005</v>
      </c>
      <c r="F15" s="628">
        <v>78.14</v>
      </c>
      <c r="G15" s="628">
        <v>352.7</v>
      </c>
      <c r="H15" s="628">
        <v>33354.6</v>
      </c>
      <c r="I15" s="628">
        <v>27.557300000000001</v>
      </c>
      <c r="J15" s="628">
        <v>1473.2</v>
      </c>
      <c r="K15" s="628">
        <v>1.4590000000000001</v>
      </c>
      <c r="L15" s="628">
        <v>60</v>
      </c>
    </row>
    <row r="16" spans="1:12" x14ac:dyDescent="0.25">
      <c r="A16" s="900">
        <v>46130</v>
      </c>
      <c r="B16" s="617">
        <v>20</v>
      </c>
      <c r="C16" s="628">
        <v>8631.5849999999991</v>
      </c>
      <c r="D16" s="628">
        <v>47.62</v>
      </c>
      <c r="E16" s="628">
        <v>0.82620000000000005</v>
      </c>
      <c r="F16" s="628">
        <v>78.13</v>
      </c>
      <c r="G16" s="628">
        <v>352.6</v>
      </c>
      <c r="H16" s="628">
        <v>33342.6</v>
      </c>
      <c r="I16" s="628">
        <v>27.5473</v>
      </c>
      <c r="J16" s="628">
        <v>1472.6</v>
      </c>
      <c r="K16" s="628">
        <v>1.458</v>
      </c>
      <c r="L16" s="628">
        <v>60</v>
      </c>
    </row>
    <row r="17" spans="1:12" x14ac:dyDescent="0.25">
      <c r="A17" s="900">
        <v>46130</v>
      </c>
      <c r="B17" s="617">
        <v>21</v>
      </c>
      <c r="C17" s="628">
        <v>8631.7870000000003</v>
      </c>
      <c r="D17" s="628">
        <v>47.69</v>
      </c>
      <c r="E17" s="628">
        <v>0.82620000000000005</v>
      </c>
      <c r="F17" s="628">
        <v>78.099999999999994</v>
      </c>
      <c r="G17" s="628">
        <v>353.5</v>
      </c>
      <c r="H17" s="628">
        <v>33414.300000000003</v>
      </c>
      <c r="I17" s="628">
        <v>27.6067</v>
      </c>
      <c r="J17" s="628">
        <v>1475.9</v>
      </c>
      <c r="K17" s="628">
        <v>1.4650000000000001</v>
      </c>
      <c r="L17" s="628">
        <v>60</v>
      </c>
    </row>
    <row r="18" spans="1:12" x14ac:dyDescent="0.25">
      <c r="A18" s="900">
        <v>46130</v>
      </c>
      <c r="B18" s="617">
        <v>22</v>
      </c>
      <c r="C18" s="628">
        <v>8631.9429999999993</v>
      </c>
      <c r="D18" s="628">
        <v>47.79</v>
      </c>
      <c r="E18" s="628">
        <v>0.82620000000000005</v>
      </c>
      <c r="F18" s="628">
        <v>78.06</v>
      </c>
      <c r="G18" s="628">
        <v>354.3</v>
      </c>
      <c r="H18" s="628">
        <v>33475.800000000003</v>
      </c>
      <c r="I18" s="628">
        <v>27.657399999999999</v>
      </c>
      <c r="J18" s="628">
        <v>1478.5</v>
      </c>
      <c r="K18" s="628">
        <v>1.4710000000000001</v>
      </c>
      <c r="L18" s="628">
        <v>60</v>
      </c>
    </row>
    <row r="19" spans="1:12" x14ac:dyDescent="0.25">
      <c r="A19" s="900">
        <v>46130</v>
      </c>
      <c r="B19" s="617">
        <v>23</v>
      </c>
      <c r="C19" s="628">
        <v>8631.8310000000001</v>
      </c>
      <c r="D19" s="628">
        <v>47.81</v>
      </c>
      <c r="E19" s="628">
        <v>0.82620000000000005</v>
      </c>
      <c r="F19" s="628">
        <v>78.05</v>
      </c>
      <c r="G19" s="628">
        <v>353.7</v>
      </c>
      <c r="H19" s="628">
        <v>33416.199999999997</v>
      </c>
      <c r="I19" s="628">
        <v>27.6082</v>
      </c>
      <c r="J19" s="628">
        <v>1475.9</v>
      </c>
      <c r="K19" s="628">
        <v>1.466</v>
      </c>
      <c r="L19" s="628">
        <v>60</v>
      </c>
    </row>
    <row r="20" spans="1:12" x14ac:dyDescent="0.25">
      <c r="A20" s="900">
        <v>46131</v>
      </c>
      <c r="B20" s="617">
        <v>24</v>
      </c>
      <c r="C20" s="628">
        <v>8632.1949999999997</v>
      </c>
      <c r="D20" s="628">
        <v>48.01</v>
      </c>
      <c r="E20" s="628">
        <v>0.82620000000000005</v>
      </c>
      <c r="F20" s="628">
        <v>77.959999999999994</v>
      </c>
      <c r="G20" s="628">
        <v>355.1</v>
      </c>
      <c r="H20" s="628">
        <v>33508.6</v>
      </c>
      <c r="I20" s="628">
        <v>27.6846</v>
      </c>
      <c r="J20" s="628">
        <v>1480</v>
      </c>
      <c r="K20" s="628">
        <v>1.478</v>
      </c>
      <c r="L20" s="628">
        <v>60</v>
      </c>
    </row>
    <row r="21" spans="1:12" x14ac:dyDescent="0.25">
      <c r="A21" s="900">
        <v>46131</v>
      </c>
      <c r="B21" s="617">
        <v>1</v>
      </c>
      <c r="C21" s="628">
        <v>8631.8760000000002</v>
      </c>
      <c r="D21" s="628">
        <v>48.13</v>
      </c>
      <c r="E21" s="628">
        <v>0.82620000000000005</v>
      </c>
      <c r="F21" s="628">
        <v>77.900000000000006</v>
      </c>
      <c r="G21" s="628">
        <v>355.4</v>
      </c>
      <c r="H21" s="628">
        <v>33512.6</v>
      </c>
      <c r="I21" s="628">
        <v>27.687799999999999</v>
      </c>
      <c r="J21" s="628">
        <v>1480.2</v>
      </c>
      <c r="K21" s="628">
        <v>1.4770000000000001</v>
      </c>
      <c r="L21" s="628">
        <v>60</v>
      </c>
    </row>
    <row r="22" spans="1:12" x14ac:dyDescent="0.25">
      <c r="A22" s="900">
        <v>46131</v>
      </c>
      <c r="B22" s="617">
        <v>2</v>
      </c>
      <c r="C22" s="628">
        <v>8632.27</v>
      </c>
      <c r="D22" s="628">
        <v>48.17</v>
      </c>
      <c r="E22" s="628">
        <v>0.82620000000000005</v>
      </c>
      <c r="F22" s="628">
        <v>77.89</v>
      </c>
      <c r="G22" s="628">
        <v>356.8</v>
      </c>
      <c r="H22" s="628">
        <v>33635.4</v>
      </c>
      <c r="I22" s="628">
        <v>27.789400000000001</v>
      </c>
      <c r="J22" s="628">
        <v>1485.6</v>
      </c>
      <c r="K22" s="628">
        <v>1.488</v>
      </c>
      <c r="L22" s="628">
        <v>60</v>
      </c>
    </row>
    <row r="23" spans="1:12" x14ac:dyDescent="0.25">
      <c r="A23" s="900">
        <v>46131</v>
      </c>
      <c r="B23" s="617">
        <v>3</v>
      </c>
      <c r="C23" s="628">
        <v>8631.5720000000001</v>
      </c>
      <c r="D23" s="628">
        <v>48.17</v>
      </c>
      <c r="E23" s="628">
        <v>0.82620000000000005</v>
      </c>
      <c r="F23" s="628">
        <v>77.88</v>
      </c>
      <c r="G23" s="628">
        <v>352.6</v>
      </c>
      <c r="H23" s="628">
        <v>33240.800000000003</v>
      </c>
      <c r="I23" s="628">
        <v>27.463200000000001</v>
      </c>
      <c r="J23" s="628">
        <v>1468.2</v>
      </c>
      <c r="K23" s="628">
        <v>1.454</v>
      </c>
      <c r="L23" s="628">
        <v>60</v>
      </c>
    </row>
    <row r="24" spans="1:12" x14ac:dyDescent="0.25">
      <c r="A24" s="900">
        <v>46131</v>
      </c>
      <c r="B24" s="617">
        <v>4</v>
      </c>
      <c r="C24" s="628">
        <v>8632.375</v>
      </c>
      <c r="D24" s="628">
        <v>48.22</v>
      </c>
      <c r="E24" s="628">
        <v>0.82620000000000005</v>
      </c>
      <c r="F24" s="628">
        <v>77.86</v>
      </c>
      <c r="G24" s="628">
        <v>350</v>
      </c>
      <c r="H24" s="628">
        <v>32977.4</v>
      </c>
      <c r="I24" s="628">
        <v>27.245699999999999</v>
      </c>
      <c r="J24" s="628">
        <v>1456.5</v>
      </c>
      <c r="K24" s="628">
        <v>1.431</v>
      </c>
      <c r="L24" s="628">
        <v>60</v>
      </c>
    </row>
    <row r="25" spans="1:12" x14ac:dyDescent="0.25">
      <c r="A25" s="900">
        <v>46131</v>
      </c>
      <c r="B25" s="617">
        <v>5</v>
      </c>
      <c r="C25" s="628">
        <v>8631.4279999999999</v>
      </c>
      <c r="D25" s="628">
        <v>48.19</v>
      </c>
      <c r="E25" s="628">
        <v>0.82620000000000005</v>
      </c>
      <c r="F25" s="628">
        <v>77.87</v>
      </c>
      <c r="G25" s="628">
        <v>350.5</v>
      </c>
      <c r="H25" s="628">
        <v>33039.9</v>
      </c>
      <c r="I25" s="628">
        <v>27.2973</v>
      </c>
      <c r="J25" s="628">
        <v>1459.3</v>
      </c>
      <c r="K25" s="628">
        <v>1.4359999999999999</v>
      </c>
      <c r="L25" s="628">
        <v>60</v>
      </c>
    </row>
    <row r="26" spans="1:12" x14ac:dyDescent="0.25">
      <c r="A26" s="900">
        <v>46131</v>
      </c>
      <c r="B26" s="617">
        <v>6</v>
      </c>
      <c r="C26" s="628">
        <v>8632.5239999999994</v>
      </c>
      <c r="D26" s="628">
        <v>48.17</v>
      </c>
      <c r="E26" s="628">
        <v>0.82620000000000005</v>
      </c>
      <c r="F26" s="628">
        <v>77.89</v>
      </c>
      <c r="G26" s="628">
        <v>348.7</v>
      </c>
      <c r="H26" s="628">
        <v>32876</v>
      </c>
      <c r="I26" s="628">
        <v>27.161899999999999</v>
      </c>
      <c r="J26" s="628">
        <v>1452.1</v>
      </c>
      <c r="K26" s="628">
        <v>1.4219999999999999</v>
      </c>
      <c r="L26" s="628">
        <v>60</v>
      </c>
    </row>
    <row r="27" spans="1:12" x14ac:dyDescent="0.25">
      <c r="A27" s="900">
        <v>46131</v>
      </c>
      <c r="B27" s="617">
        <v>7</v>
      </c>
      <c r="C27" s="628">
        <v>8631.6769999999997</v>
      </c>
      <c r="D27" s="628">
        <v>48.1</v>
      </c>
      <c r="E27" s="628">
        <v>0.82620000000000005</v>
      </c>
      <c r="F27" s="628">
        <v>77.91</v>
      </c>
      <c r="G27" s="628">
        <v>349.4</v>
      </c>
      <c r="H27" s="628">
        <v>32948.800000000003</v>
      </c>
      <c r="I27" s="628">
        <v>27.222100000000001</v>
      </c>
      <c r="J27" s="628">
        <v>1455.3</v>
      </c>
      <c r="K27" s="628">
        <v>1.4279999999999999</v>
      </c>
      <c r="L27" s="628">
        <v>60</v>
      </c>
    </row>
    <row r="28" spans="1:12" x14ac:dyDescent="0.25">
      <c r="A28" s="592"/>
      <c r="B28" s="628"/>
      <c r="C28" s="638"/>
      <c r="D28" s="638"/>
      <c r="E28" s="638"/>
      <c r="F28" s="638"/>
      <c r="G28" s="638"/>
      <c r="H28" s="638"/>
      <c r="I28" s="638"/>
      <c r="J28" s="638"/>
      <c r="K28" s="638"/>
      <c r="L28" s="638"/>
    </row>
  </sheetData>
  <mergeCells count="2">
    <mergeCell ref="B1:L1"/>
    <mergeCell ref="A2:A3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3B6DD-A065-4D42-B719-2BCFA1D89E0E}">
  <sheetPr>
    <tabColor theme="3"/>
  </sheetPr>
  <dimension ref="A1:O44"/>
  <sheetViews>
    <sheetView workbookViewId="0">
      <selection activeCell="A2" sqref="A2:A3"/>
    </sheetView>
  </sheetViews>
  <sheetFormatPr defaultRowHeight="15" x14ac:dyDescent="0.25"/>
  <cols>
    <col min="1" max="1" width="10.7109375" bestFit="1" customWidth="1"/>
    <col min="2" max="14" width="11.7109375" customWidth="1"/>
  </cols>
  <sheetData>
    <row r="1" spans="1:14" ht="15.75" thickBot="1" x14ac:dyDescent="0.3">
      <c r="B1" s="897" t="s">
        <v>725</v>
      </c>
      <c r="C1" s="880"/>
      <c r="D1" s="880"/>
      <c r="E1" s="898"/>
      <c r="F1" s="880"/>
      <c r="G1" s="880"/>
      <c r="H1" s="880"/>
      <c r="I1" s="880"/>
      <c r="J1" s="880"/>
      <c r="K1" s="880"/>
      <c r="L1" s="880"/>
      <c r="M1" s="880"/>
      <c r="N1" s="880"/>
    </row>
    <row r="2" spans="1:14" ht="31.5" x14ac:dyDescent="0.25">
      <c r="A2" s="895" t="s">
        <v>618</v>
      </c>
      <c r="B2" s="895" t="s">
        <v>619</v>
      </c>
      <c r="C2" s="630" t="s">
        <v>620</v>
      </c>
      <c r="D2" s="630" t="s">
        <v>622</v>
      </c>
      <c r="E2" s="630" t="s">
        <v>623</v>
      </c>
      <c r="F2" s="630" t="s">
        <v>624</v>
      </c>
      <c r="G2" s="630" t="s">
        <v>625</v>
      </c>
      <c r="H2" s="630" t="s">
        <v>626</v>
      </c>
      <c r="I2" s="630" t="s">
        <v>627</v>
      </c>
      <c r="J2" s="630" t="s">
        <v>628</v>
      </c>
      <c r="K2" s="630" t="s">
        <v>629</v>
      </c>
      <c r="L2" s="630" t="s">
        <v>398</v>
      </c>
      <c r="M2" s="631" t="s">
        <v>630</v>
      </c>
      <c r="N2" s="621" t="s">
        <v>631</v>
      </c>
    </row>
    <row r="3" spans="1:14" x14ac:dyDescent="0.25">
      <c r="A3" s="896"/>
      <c r="B3" s="896"/>
      <c r="C3" s="632">
        <f>AVERAGE(C4:C27)</f>
        <v>0</v>
      </c>
      <c r="D3" s="632">
        <f t="shared" ref="D3:E3" si="0">AVERAGE(D4:D27)</f>
        <v>0</v>
      </c>
      <c r="E3" s="632">
        <f t="shared" si="0"/>
        <v>0</v>
      </c>
      <c r="F3" s="632">
        <f>AVERAGE(F4:F27)</f>
        <v>0</v>
      </c>
      <c r="G3" s="632">
        <f>SUM(G4:G27)</f>
        <v>0</v>
      </c>
      <c r="H3" s="632">
        <f>SUM(H4:H27)</f>
        <v>0</v>
      </c>
      <c r="I3" s="632">
        <f t="shared" ref="I3:J3" si="1">SUM(I4:I27)</f>
        <v>0</v>
      </c>
      <c r="J3" s="632">
        <f t="shared" si="1"/>
        <v>0</v>
      </c>
      <c r="K3" s="632">
        <f>SUM(K4:K27)</f>
        <v>0</v>
      </c>
      <c r="L3" s="632">
        <v>0</v>
      </c>
      <c r="M3" s="632">
        <f>AVERAGE(M4:M27)</f>
        <v>0</v>
      </c>
      <c r="N3" s="632">
        <f>AVERAGE(N4:N27)</f>
        <v>0</v>
      </c>
    </row>
    <row r="4" spans="1:14" x14ac:dyDescent="0.25">
      <c r="A4" s="900">
        <v>46130</v>
      </c>
      <c r="B4" s="617">
        <v>8</v>
      </c>
      <c r="C4" s="633">
        <v>0</v>
      </c>
      <c r="D4" s="633">
        <v>0</v>
      </c>
      <c r="E4" s="633">
        <v>0</v>
      </c>
      <c r="F4" s="633">
        <v>0</v>
      </c>
      <c r="G4" s="633">
        <v>0</v>
      </c>
      <c r="H4" s="633">
        <v>0</v>
      </c>
      <c r="I4" s="633">
        <v>0</v>
      </c>
      <c r="J4" s="633">
        <v>0</v>
      </c>
      <c r="K4" s="633">
        <v>0</v>
      </c>
      <c r="L4" s="633">
        <v>0</v>
      </c>
      <c r="M4" s="633">
        <v>0</v>
      </c>
      <c r="N4" s="633">
        <v>0</v>
      </c>
    </row>
    <row r="5" spans="1:14" x14ac:dyDescent="0.25">
      <c r="A5" s="900">
        <v>46130</v>
      </c>
      <c r="B5" s="617">
        <v>9</v>
      </c>
      <c r="C5" s="633">
        <v>0</v>
      </c>
      <c r="D5" s="633">
        <v>0</v>
      </c>
      <c r="E5" s="633">
        <v>0</v>
      </c>
      <c r="F5" s="633">
        <v>0</v>
      </c>
      <c r="G5" s="633">
        <v>0</v>
      </c>
      <c r="H5" s="633">
        <v>0</v>
      </c>
      <c r="I5" s="633">
        <v>0</v>
      </c>
      <c r="J5" s="633">
        <v>0</v>
      </c>
      <c r="K5" s="633">
        <v>0</v>
      </c>
      <c r="L5" s="633">
        <v>0</v>
      </c>
      <c r="M5" s="633">
        <v>0</v>
      </c>
      <c r="N5" s="633">
        <v>0</v>
      </c>
    </row>
    <row r="6" spans="1:14" x14ac:dyDescent="0.25">
      <c r="A6" s="900">
        <v>46130</v>
      </c>
      <c r="B6" s="617">
        <v>10</v>
      </c>
      <c r="C6" s="633">
        <v>0</v>
      </c>
      <c r="D6" s="633">
        <v>0</v>
      </c>
      <c r="E6" s="633">
        <v>0</v>
      </c>
      <c r="F6" s="633">
        <v>0</v>
      </c>
      <c r="G6" s="633">
        <v>0</v>
      </c>
      <c r="H6" s="633">
        <v>0</v>
      </c>
      <c r="I6" s="633">
        <v>0</v>
      </c>
      <c r="J6" s="633">
        <v>0</v>
      </c>
      <c r="K6" s="633">
        <v>0</v>
      </c>
      <c r="L6" s="633">
        <v>0</v>
      </c>
      <c r="M6" s="633">
        <v>0</v>
      </c>
      <c r="N6" s="633">
        <v>0</v>
      </c>
    </row>
    <row r="7" spans="1:14" x14ac:dyDescent="0.25">
      <c r="A7" s="900">
        <v>46130</v>
      </c>
      <c r="B7" s="617">
        <v>11</v>
      </c>
      <c r="C7" s="633">
        <v>0</v>
      </c>
      <c r="D7" s="633">
        <v>0</v>
      </c>
      <c r="E7" s="633">
        <v>0</v>
      </c>
      <c r="F7" s="633">
        <v>0</v>
      </c>
      <c r="G7" s="633">
        <v>0</v>
      </c>
      <c r="H7" s="633">
        <v>0</v>
      </c>
      <c r="I7" s="633">
        <v>0</v>
      </c>
      <c r="J7" s="633">
        <v>0</v>
      </c>
      <c r="K7" s="633">
        <v>0</v>
      </c>
      <c r="L7" s="633">
        <v>0</v>
      </c>
      <c r="M7" s="633">
        <v>0</v>
      </c>
      <c r="N7" s="633">
        <v>0</v>
      </c>
    </row>
    <row r="8" spans="1:14" x14ac:dyDescent="0.25">
      <c r="A8" s="900">
        <v>46130</v>
      </c>
      <c r="B8" s="617">
        <v>12</v>
      </c>
      <c r="C8" s="633">
        <v>0</v>
      </c>
      <c r="D8" s="633">
        <v>0</v>
      </c>
      <c r="E8" s="633">
        <v>0</v>
      </c>
      <c r="F8" s="633">
        <v>0</v>
      </c>
      <c r="G8" s="633">
        <v>0</v>
      </c>
      <c r="H8" s="633">
        <v>0</v>
      </c>
      <c r="I8" s="633">
        <v>0</v>
      </c>
      <c r="J8" s="633">
        <v>0</v>
      </c>
      <c r="K8" s="633">
        <v>0</v>
      </c>
      <c r="L8" s="633">
        <v>0</v>
      </c>
      <c r="M8" s="633">
        <v>0</v>
      </c>
      <c r="N8" s="633">
        <v>0</v>
      </c>
    </row>
    <row r="9" spans="1:14" x14ac:dyDescent="0.25">
      <c r="A9" s="900">
        <v>46130</v>
      </c>
      <c r="B9" s="617">
        <v>13</v>
      </c>
      <c r="C9" s="633">
        <v>0</v>
      </c>
      <c r="D9" s="633">
        <v>0</v>
      </c>
      <c r="E9" s="633">
        <v>0</v>
      </c>
      <c r="F9" s="633">
        <v>0</v>
      </c>
      <c r="G9" s="633">
        <v>0</v>
      </c>
      <c r="H9" s="633">
        <v>0</v>
      </c>
      <c r="I9" s="633">
        <v>0</v>
      </c>
      <c r="J9" s="633">
        <v>0</v>
      </c>
      <c r="K9" s="633">
        <v>0</v>
      </c>
      <c r="L9" s="633">
        <v>0</v>
      </c>
      <c r="M9" s="633">
        <v>0</v>
      </c>
      <c r="N9" s="633">
        <v>0</v>
      </c>
    </row>
    <row r="10" spans="1:14" x14ac:dyDescent="0.25">
      <c r="A10" s="900">
        <v>46130</v>
      </c>
      <c r="B10" s="617">
        <v>14</v>
      </c>
      <c r="C10" s="633">
        <v>0</v>
      </c>
      <c r="D10" s="633">
        <v>0</v>
      </c>
      <c r="E10" s="633">
        <v>0</v>
      </c>
      <c r="F10" s="633">
        <v>0</v>
      </c>
      <c r="G10" s="633">
        <v>0</v>
      </c>
      <c r="H10" s="633">
        <v>0</v>
      </c>
      <c r="I10" s="633">
        <v>0</v>
      </c>
      <c r="J10" s="633">
        <v>0</v>
      </c>
      <c r="K10" s="633">
        <v>0</v>
      </c>
      <c r="L10" s="633">
        <v>0</v>
      </c>
      <c r="M10" s="633">
        <v>0</v>
      </c>
      <c r="N10" s="633">
        <v>0</v>
      </c>
    </row>
    <row r="11" spans="1:14" x14ac:dyDescent="0.25">
      <c r="A11" s="900">
        <v>46130</v>
      </c>
      <c r="B11" s="617">
        <v>15</v>
      </c>
      <c r="C11" s="633">
        <v>0</v>
      </c>
      <c r="D11" s="633">
        <v>0</v>
      </c>
      <c r="E11" s="633">
        <v>0</v>
      </c>
      <c r="F11" s="633">
        <v>0</v>
      </c>
      <c r="G11" s="633">
        <v>0</v>
      </c>
      <c r="H11" s="633">
        <v>0</v>
      </c>
      <c r="I11" s="633">
        <v>0</v>
      </c>
      <c r="J11" s="633">
        <v>0</v>
      </c>
      <c r="K11" s="633">
        <v>0</v>
      </c>
      <c r="L11" s="633">
        <v>0</v>
      </c>
      <c r="M11" s="633">
        <v>0</v>
      </c>
      <c r="N11" s="633">
        <v>0</v>
      </c>
    </row>
    <row r="12" spans="1:14" x14ac:dyDescent="0.25">
      <c r="A12" s="900">
        <v>46130</v>
      </c>
      <c r="B12" s="617">
        <v>16</v>
      </c>
      <c r="C12" s="633">
        <v>0</v>
      </c>
      <c r="D12" s="633">
        <v>0</v>
      </c>
      <c r="E12" s="633">
        <v>0</v>
      </c>
      <c r="F12" s="633">
        <v>0</v>
      </c>
      <c r="G12" s="633">
        <v>0</v>
      </c>
      <c r="H12" s="633">
        <v>0</v>
      </c>
      <c r="I12" s="633">
        <v>0</v>
      </c>
      <c r="J12" s="633">
        <v>0</v>
      </c>
      <c r="K12" s="633">
        <v>0</v>
      </c>
      <c r="L12" s="633">
        <v>0</v>
      </c>
      <c r="M12" s="633">
        <v>0</v>
      </c>
      <c r="N12" s="633">
        <v>0</v>
      </c>
    </row>
    <row r="13" spans="1:14" x14ac:dyDescent="0.25">
      <c r="A13" s="900">
        <v>46130</v>
      </c>
      <c r="B13" s="617">
        <v>17</v>
      </c>
      <c r="C13" s="633">
        <v>0</v>
      </c>
      <c r="D13" s="633">
        <v>0</v>
      </c>
      <c r="E13" s="633">
        <v>0</v>
      </c>
      <c r="F13" s="633">
        <v>0</v>
      </c>
      <c r="G13" s="633">
        <v>0</v>
      </c>
      <c r="H13" s="633">
        <v>0</v>
      </c>
      <c r="I13" s="633">
        <v>0</v>
      </c>
      <c r="J13" s="633">
        <v>0</v>
      </c>
      <c r="K13" s="633">
        <v>0</v>
      </c>
      <c r="L13" s="633">
        <v>0</v>
      </c>
      <c r="M13" s="633">
        <v>0</v>
      </c>
      <c r="N13" s="633">
        <v>0</v>
      </c>
    </row>
    <row r="14" spans="1:14" x14ac:dyDescent="0.25">
      <c r="A14" s="900">
        <v>46130</v>
      </c>
      <c r="B14" s="617">
        <v>18</v>
      </c>
      <c r="C14" s="633">
        <v>0</v>
      </c>
      <c r="D14" s="633">
        <v>0</v>
      </c>
      <c r="E14" s="633">
        <v>0</v>
      </c>
      <c r="F14" s="633">
        <v>0</v>
      </c>
      <c r="G14" s="633">
        <v>0</v>
      </c>
      <c r="H14" s="633">
        <v>0</v>
      </c>
      <c r="I14" s="633">
        <v>0</v>
      </c>
      <c r="J14" s="633">
        <v>0</v>
      </c>
      <c r="K14" s="633">
        <v>0</v>
      </c>
      <c r="L14" s="633">
        <v>0</v>
      </c>
      <c r="M14" s="633">
        <v>0</v>
      </c>
      <c r="N14" s="633">
        <v>0</v>
      </c>
    </row>
    <row r="15" spans="1:14" x14ac:dyDescent="0.25">
      <c r="A15" s="900">
        <v>46130</v>
      </c>
      <c r="B15" s="617">
        <v>19</v>
      </c>
      <c r="C15" s="633">
        <v>0</v>
      </c>
      <c r="D15" s="633">
        <v>0</v>
      </c>
      <c r="E15" s="633">
        <v>0</v>
      </c>
      <c r="F15" s="633">
        <v>0</v>
      </c>
      <c r="G15" s="633">
        <v>0</v>
      </c>
      <c r="H15" s="633">
        <v>0</v>
      </c>
      <c r="I15" s="633">
        <v>0</v>
      </c>
      <c r="J15" s="633">
        <v>0</v>
      </c>
      <c r="K15" s="633">
        <v>0</v>
      </c>
      <c r="L15" s="633">
        <v>0</v>
      </c>
      <c r="M15" s="633">
        <v>0</v>
      </c>
      <c r="N15" s="633">
        <v>0</v>
      </c>
    </row>
    <row r="16" spans="1:14" x14ac:dyDescent="0.25">
      <c r="A16" s="900">
        <v>46130</v>
      </c>
      <c r="B16" s="617">
        <v>20</v>
      </c>
      <c r="C16" s="633">
        <v>0</v>
      </c>
      <c r="D16" s="633">
        <v>0</v>
      </c>
      <c r="E16" s="633">
        <v>0</v>
      </c>
      <c r="F16" s="633">
        <v>0</v>
      </c>
      <c r="G16" s="633">
        <v>0</v>
      </c>
      <c r="H16" s="633">
        <v>0</v>
      </c>
      <c r="I16" s="633">
        <v>0</v>
      </c>
      <c r="J16" s="633">
        <v>0</v>
      </c>
      <c r="K16" s="633">
        <v>0</v>
      </c>
      <c r="L16" s="633">
        <v>0</v>
      </c>
      <c r="M16" s="633">
        <v>0</v>
      </c>
      <c r="N16" s="633">
        <v>0</v>
      </c>
    </row>
    <row r="17" spans="1:15" x14ac:dyDescent="0.25">
      <c r="A17" s="900">
        <v>46130</v>
      </c>
      <c r="B17" s="617">
        <v>21</v>
      </c>
      <c r="C17" s="633">
        <v>0</v>
      </c>
      <c r="D17" s="633">
        <v>0</v>
      </c>
      <c r="E17" s="633">
        <v>0</v>
      </c>
      <c r="F17" s="633">
        <v>0</v>
      </c>
      <c r="G17" s="633">
        <v>0</v>
      </c>
      <c r="H17" s="633">
        <v>0</v>
      </c>
      <c r="I17" s="633">
        <v>0</v>
      </c>
      <c r="J17" s="633">
        <v>0</v>
      </c>
      <c r="K17" s="633">
        <v>0</v>
      </c>
      <c r="L17" s="633">
        <v>0</v>
      </c>
      <c r="M17" s="633">
        <v>0</v>
      </c>
      <c r="N17" s="633">
        <v>0</v>
      </c>
      <c r="O17" s="403"/>
    </row>
    <row r="18" spans="1:15" x14ac:dyDescent="0.25">
      <c r="A18" s="900">
        <v>46130</v>
      </c>
      <c r="B18" s="617">
        <v>22</v>
      </c>
      <c r="C18" s="633">
        <v>0</v>
      </c>
      <c r="D18" s="633">
        <v>0</v>
      </c>
      <c r="E18" s="633">
        <v>0</v>
      </c>
      <c r="F18" s="633">
        <v>0</v>
      </c>
      <c r="G18" s="633">
        <v>0</v>
      </c>
      <c r="H18" s="633">
        <v>0</v>
      </c>
      <c r="I18" s="633">
        <v>0</v>
      </c>
      <c r="J18" s="633">
        <v>0</v>
      </c>
      <c r="K18" s="633">
        <v>0</v>
      </c>
      <c r="L18" s="633">
        <v>0</v>
      </c>
      <c r="M18" s="633">
        <v>0</v>
      </c>
      <c r="N18" s="633">
        <v>0</v>
      </c>
    </row>
    <row r="19" spans="1:15" x14ac:dyDescent="0.25">
      <c r="A19" s="900">
        <v>46130</v>
      </c>
      <c r="B19" s="617">
        <v>23</v>
      </c>
      <c r="C19" s="633">
        <v>0</v>
      </c>
      <c r="D19" s="633">
        <v>0</v>
      </c>
      <c r="E19" s="633">
        <v>0</v>
      </c>
      <c r="F19" s="633">
        <v>0</v>
      </c>
      <c r="G19" s="633">
        <v>0</v>
      </c>
      <c r="H19" s="633">
        <v>0</v>
      </c>
      <c r="I19" s="633">
        <v>0</v>
      </c>
      <c r="J19" s="633">
        <v>0</v>
      </c>
      <c r="K19" s="633">
        <v>0</v>
      </c>
      <c r="L19" s="633">
        <v>0</v>
      </c>
      <c r="M19" s="633">
        <v>0</v>
      </c>
      <c r="N19" s="633">
        <v>0</v>
      </c>
    </row>
    <row r="20" spans="1:15" x14ac:dyDescent="0.25">
      <c r="A20" s="900">
        <v>46131</v>
      </c>
      <c r="B20" s="617">
        <v>24</v>
      </c>
      <c r="C20" s="633">
        <v>0</v>
      </c>
      <c r="D20" s="633">
        <v>0</v>
      </c>
      <c r="E20" s="633">
        <v>0</v>
      </c>
      <c r="F20" s="633">
        <v>0</v>
      </c>
      <c r="G20" s="633">
        <v>0</v>
      </c>
      <c r="H20" s="633">
        <v>0</v>
      </c>
      <c r="I20" s="633">
        <v>0</v>
      </c>
      <c r="J20" s="633">
        <v>0</v>
      </c>
      <c r="K20" s="633">
        <v>0</v>
      </c>
      <c r="L20" s="633">
        <v>0</v>
      </c>
      <c r="M20" s="633">
        <v>0</v>
      </c>
      <c r="N20" s="633">
        <v>0</v>
      </c>
    </row>
    <row r="21" spans="1:15" x14ac:dyDescent="0.25">
      <c r="A21" s="900">
        <v>46131</v>
      </c>
      <c r="B21" s="617">
        <v>1</v>
      </c>
      <c r="C21" s="633">
        <v>0</v>
      </c>
      <c r="D21" s="633">
        <v>0</v>
      </c>
      <c r="E21" s="633">
        <v>0</v>
      </c>
      <c r="F21" s="633">
        <v>0</v>
      </c>
      <c r="G21" s="633">
        <v>0</v>
      </c>
      <c r="H21" s="633">
        <v>0</v>
      </c>
      <c r="I21" s="633">
        <v>0</v>
      </c>
      <c r="J21" s="633">
        <v>0</v>
      </c>
      <c r="K21" s="633">
        <v>0</v>
      </c>
      <c r="L21" s="633">
        <v>0</v>
      </c>
      <c r="M21" s="633">
        <v>0</v>
      </c>
      <c r="N21" s="633">
        <v>0</v>
      </c>
    </row>
    <row r="22" spans="1:15" x14ac:dyDescent="0.25">
      <c r="A22" s="900">
        <v>46131</v>
      </c>
      <c r="B22" s="617">
        <v>2</v>
      </c>
      <c r="C22" s="633">
        <v>0</v>
      </c>
      <c r="D22" s="633">
        <v>0</v>
      </c>
      <c r="E22" s="633">
        <v>0</v>
      </c>
      <c r="F22" s="633">
        <v>0</v>
      </c>
      <c r="G22" s="633">
        <v>0</v>
      </c>
      <c r="H22" s="633">
        <v>0</v>
      </c>
      <c r="I22" s="633">
        <v>0</v>
      </c>
      <c r="J22" s="633">
        <v>0</v>
      </c>
      <c r="K22" s="633">
        <v>0</v>
      </c>
      <c r="L22" s="633">
        <v>0</v>
      </c>
      <c r="M22" s="633">
        <v>0</v>
      </c>
      <c r="N22" s="633">
        <v>0</v>
      </c>
    </row>
    <row r="23" spans="1:15" x14ac:dyDescent="0.25">
      <c r="A23" s="900">
        <v>46131</v>
      </c>
      <c r="B23" s="617">
        <v>3</v>
      </c>
      <c r="C23" s="633">
        <v>0</v>
      </c>
      <c r="D23" s="633">
        <v>0</v>
      </c>
      <c r="E23" s="633">
        <v>0</v>
      </c>
      <c r="F23" s="633">
        <v>0</v>
      </c>
      <c r="G23" s="633">
        <v>0</v>
      </c>
      <c r="H23" s="633">
        <v>0</v>
      </c>
      <c r="I23" s="633">
        <v>0</v>
      </c>
      <c r="J23" s="633">
        <v>0</v>
      </c>
      <c r="K23" s="633">
        <v>0</v>
      </c>
      <c r="L23" s="633">
        <v>0</v>
      </c>
      <c r="M23" s="633">
        <v>0</v>
      </c>
      <c r="N23" s="633">
        <v>0</v>
      </c>
    </row>
    <row r="24" spans="1:15" x14ac:dyDescent="0.25">
      <c r="A24" s="900">
        <v>46131</v>
      </c>
      <c r="B24" s="617">
        <v>4</v>
      </c>
      <c r="C24" s="633">
        <v>0</v>
      </c>
      <c r="D24" s="633">
        <v>0</v>
      </c>
      <c r="E24" s="633">
        <v>0</v>
      </c>
      <c r="F24" s="633">
        <v>0</v>
      </c>
      <c r="G24" s="633">
        <v>0</v>
      </c>
      <c r="H24" s="633">
        <v>0</v>
      </c>
      <c r="I24" s="633">
        <v>0</v>
      </c>
      <c r="J24" s="633">
        <v>0</v>
      </c>
      <c r="K24" s="633">
        <v>0</v>
      </c>
      <c r="L24" s="633">
        <v>0</v>
      </c>
      <c r="M24" s="633">
        <v>0</v>
      </c>
      <c r="N24" s="633">
        <v>0</v>
      </c>
    </row>
    <row r="25" spans="1:15" x14ac:dyDescent="0.25">
      <c r="A25" s="900">
        <v>46131</v>
      </c>
      <c r="B25" s="617">
        <v>5</v>
      </c>
      <c r="C25" s="633">
        <v>0</v>
      </c>
      <c r="D25" s="633">
        <v>0</v>
      </c>
      <c r="E25" s="633">
        <v>0</v>
      </c>
      <c r="F25" s="633">
        <v>0</v>
      </c>
      <c r="G25" s="633">
        <v>0</v>
      </c>
      <c r="H25" s="633">
        <v>0</v>
      </c>
      <c r="I25" s="633">
        <v>0</v>
      </c>
      <c r="J25" s="633">
        <v>0</v>
      </c>
      <c r="K25" s="633">
        <v>0</v>
      </c>
      <c r="L25" s="633">
        <v>0</v>
      </c>
      <c r="M25" s="633">
        <v>0</v>
      </c>
      <c r="N25" s="633">
        <v>0</v>
      </c>
    </row>
    <row r="26" spans="1:15" x14ac:dyDescent="0.25">
      <c r="A26" s="900">
        <v>46131</v>
      </c>
      <c r="B26" s="617">
        <v>6</v>
      </c>
      <c r="C26" s="633">
        <v>0</v>
      </c>
      <c r="D26" s="633">
        <v>0</v>
      </c>
      <c r="E26" s="633">
        <v>0</v>
      </c>
      <c r="F26" s="633">
        <v>0</v>
      </c>
      <c r="G26" s="633">
        <v>0</v>
      </c>
      <c r="H26" s="633">
        <v>0</v>
      </c>
      <c r="I26" s="633">
        <v>0</v>
      </c>
      <c r="J26" s="633">
        <v>0</v>
      </c>
      <c r="K26" s="633">
        <v>0</v>
      </c>
      <c r="L26" s="633">
        <v>0</v>
      </c>
      <c r="M26" s="633">
        <v>0</v>
      </c>
      <c r="N26" s="633">
        <v>0</v>
      </c>
    </row>
    <row r="27" spans="1:15" x14ac:dyDescent="0.25">
      <c r="A27" s="900">
        <v>46131</v>
      </c>
      <c r="B27" s="617">
        <v>7</v>
      </c>
      <c r="C27" s="633">
        <v>0</v>
      </c>
      <c r="D27" s="633">
        <v>0</v>
      </c>
      <c r="E27" s="633">
        <v>0</v>
      </c>
      <c r="F27" s="633">
        <v>0</v>
      </c>
      <c r="G27" s="633">
        <v>0</v>
      </c>
      <c r="H27" s="633">
        <v>0</v>
      </c>
      <c r="I27" s="633">
        <v>0</v>
      </c>
      <c r="J27" s="633">
        <v>0</v>
      </c>
      <c r="K27" s="633">
        <v>0</v>
      </c>
      <c r="L27" s="633">
        <v>0</v>
      </c>
      <c r="M27" s="633">
        <v>0</v>
      </c>
      <c r="N27" s="633">
        <v>0</v>
      </c>
    </row>
    <row r="28" spans="1:15" hidden="1" x14ac:dyDescent="0.25">
      <c r="A28" s="592">
        <v>46109</v>
      </c>
      <c r="B28" s="633">
        <v>12</v>
      </c>
      <c r="C28" s="633">
        <v>0</v>
      </c>
      <c r="D28" s="633">
        <v>0</v>
      </c>
      <c r="E28" s="633">
        <v>0</v>
      </c>
      <c r="F28" s="633">
        <v>0</v>
      </c>
      <c r="G28" s="633">
        <v>0</v>
      </c>
      <c r="H28" s="633">
        <v>0</v>
      </c>
      <c r="I28" s="633">
        <v>0</v>
      </c>
      <c r="J28" s="633">
        <v>0</v>
      </c>
      <c r="K28" s="633">
        <v>0</v>
      </c>
      <c r="L28" s="633">
        <v>0</v>
      </c>
      <c r="M28" s="633">
        <v>0</v>
      </c>
      <c r="N28" s="633">
        <v>0</v>
      </c>
    </row>
    <row r="29" spans="1:15" x14ac:dyDescent="0.25">
      <c r="B29" s="640"/>
      <c r="C29" s="639"/>
      <c r="D29" s="639"/>
      <c r="E29" s="639"/>
      <c r="F29" s="639"/>
      <c r="G29" s="639"/>
      <c r="H29" s="639"/>
      <c r="I29" s="639"/>
      <c r="J29" s="639"/>
      <c r="K29" s="639"/>
      <c r="L29" s="639"/>
      <c r="M29" s="639"/>
      <c r="N29" s="639"/>
    </row>
    <row r="30" spans="1:15" x14ac:dyDescent="0.25">
      <c r="B30" s="565"/>
      <c r="C30" s="565"/>
      <c r="D30" s="565"/>
      <c r="E30" s="565"/>
      <c r="F30" s="565"/>
      <c r="G30" s="565"/>
      <c r="H30" s="565"/>
      <c r="I30" s="565"/>
      <c r="J30" s="565"/>
      <c r="K30" s="565"/>
      <c r="L30" s="565"/>
      <c r="M30" s="565"/>
      <c r="N30" s="565"/>
    </row>
    <row r="32" spans="1:15" x14ac:dyDescent="0.25">
      <c r="C32" s="565"/>
    </row>
    <row r="33" spans="3:3" x14ac:dyDescent="0.25">
      <c r="C33" s="565"/>
    </row>
    <row r="34" spans="3:3" x14ac:dyDescent="0.25">
      <c r="C34" s="565"/>
    </row>
    <row r="35" spans="3:3" x14ac:dyDescent="0.25">
      <c r="C35" s="565"/>
    </row>
    <row r="36" spans="3:3" x14ac:dyDescent="0.25">
      <c r="C36" s="565"/>
    </row>
    <row r="37" spans="3:3" x14ac:dyDescent="0.25">
      <c r="C37" s="565"/>
    </row>
    <row r="38" spans="3:3" x14ac:dyDescent="0.25">
      <c r="C38" s="565"/>
    </row>
    <row r="39" spans="3:3" x14ac:dyDescent="0.25">
      <c r="C39" s="565"/>
    </row>
    <row r="40" spans="3:3" x14ac:dyDescent="0.25">
      <c r="C40" s="565"/>
    </row>
    <row r="41" spans="3:3" x14ac:dyDescent="0.25">
      <c r="C41" s="565"/>
    </row>
    <row r="42" spans="3:3" x14ac:dyDescent="0.25">
      <c r="C42" s="565"/>
    </row>
    <row r="43" spans="3:3" x14ac:dyDescent="0.25">
      <c r="C43" s="565"/>
    </row>
    <row r="44" spans="3:3" x14ac:dyDescent="0.25">
      <c r="C44" s="565"/>
    </row>
  </sheetData>
  <mergeCells count="3">
    <mergeCell ref="B1:N1"/>
    <mergeCell ref="A2:A3"/>
    <mergeCell ref="B2:B3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1C04C-FAD1-4589-A382-0DD20B952ACE}">
  <sheetPr>
    <tabColor rgb="FF7030A0"/>
  </sheetPr>
  <dimension ref="A1:AW26"/>
  <sheetViews>
    <sheetView topLeftCell="T1" workbookViewId="0">
      <selection activeCell="AJ33" sqref="AJ33"/>
    </sheetView>
  </sheetViews>
  <sheetFormatPr defaultRowHeight="15" x14ac:dyDescent="0.25"/>
  <cols>
    <col min="1" max="1" width="20" customWidth="1"/>
    <col min="2" max="2" width="13.85546875" customWidth="1"/>
    <col min="3" max="3" width="8.7109375" hidden="1" customWidth="1"/>
    <col min="4" max="5" width="13" hidden="1" customWidth="1"/>
    <col min="6" max="6" width="15.5703125" hidden="1" customWidth="1"/>
    <col min="7" max="7" width="8" hidden="1" customWidth="1"/>
    <col min="8" max="13" width="11" hidden="1" customWidth="1"/>
    <col min="14" max="14" width="6.85546875" hidden="1" customWidth="1"/>
    <col min="15" max="15" width="16.7109375" customWidth="1"/>
    <col min="16" max="16" width="14.140625" customWidth="1"/>
    <col min="17" max="17" width="17.28515625" customWidth="1"/>
    <col min="18" max="18" width="17.42578125" customWidth="1"/>
    <col min="19" max="19" width="14" customWidth="1"/>
    <col min="20" max="20" width="12.140625" customWidth="1"/>
    <col min="21" max="21" width="15.5703125" customWidth="1"/>
    <col min="22" max="28" width="12.140625" customWidth="1"/>
    <col min="29" max="29" width="10.42578125" customWidth="1"/>
    <col min="30" max="31" width="12.140625" customWidth="1"/>
    <col min="32" max="32" width="8.85546875" bestFit="1" customWidth="1"/>
    <col min="33" max="33" width="12.140625" customWidth="1"/>
    <col min="35" max="35" width="8.42578125" bestFit="1" customWidth="1"/>
    <col min="36" max="36" width="7.28515625" bestFit="1" customWidth="1"/>
    <col min="37" max="37" width="8.85546875" bestFit="1" customWidth="1"/>
    <col min="38" max="38" width="6.42578125" bestFit="1" customWidth="1"/>
    <col min="40" max="40" width="7.85546875" customWidth="1"/>
    <col min="41" max="41" width="8.5703125" bestFit="1" customWidth="1"/>
    <col min="42" max="42" width="6.5703125" bestFit="1" customWidth="1"/>
    <col min="43" max="43" width="7.7109375" bestFit="1" customWidth="1"/>
    <col min="45" max="45" width="9" bestFit="1" customWidth="1"/>
    <col min="46" max="46" width="8.42578125" bestFit="1" customWidth="1"/>
    <col min="47" max="48" width="8.28515625" bestFit="1" customWidth="1"/>
    <col min="49" max="49" width="10.140625" customWidth="1"/>
  </cols>
  <sheetData>
    <row r="1" spans="1:49" ht="78.75" x14ac:dyDescent="0.25">
      <c r="A1" s="904" t="s">
        <v>640</v>
      </c>
      <c r="B1" s="904" t="s">
        <v>619</v>
      </c>
      <c r="C1" s="904" t="s">
        <v>641</v>
      </c>
      <c r="D1" s="904" t="s">
        <v>642</v>
      </c>
      <c r="E1" s="904" t="s">
        <v>643</v>
      </c>
      <c r="F1" s="904" t="s">
        <v>644</v>
      </c>
      <c r="G1" s="904" t="s">
        <v>645</v>
      </c>
      <c r="H1" s="904" t="s">
        <v>646</v>
      </c>
      <c r="I1" s="904" t="s">
        <v>647</v>
      </c>
      <c r="J1" s="904" t="s">
        <v>648</v>
      </c>
      <c r="K1" s="904" t="s">
        <v>649</v>
      </c>
      <c r="L1" s="904" t="s">
        <v>650</v>
      </c>
      <c r="M1" s="904" t="s">
        <v>651</v>
      </c>
      <c r="N1" s="904" t="s">
        <v>727</v>
      </c>
      <c r="O1" s="904" t="s">
        <v>653</v>
      </c>
      <c r="P1" s="904" t="s">
        <v>652</v>
      </c>
      <c r="Q1" s="904" t="s">
        <v>655</v>
      </c>
      <c r="R1" s="904" t="s">
        <v>654</v>
      </c>
      <c r="S1" s="904" t="s">
        <v>656</v>
      </c>
      <c r="T1" s="904" t="s">
        <v>658</v>
      </c>
      <c r="U1" s="904" t="s">
        <v>657</v>
      </c>
      <c r="V1" s="904" t="s">
        <v>660</v>
      </c>
      <c r="W1" s="904" t="s">
        <v>659</v>
      </c>
      <c r="X1" s="904" t="s">
        <v>661</v>
      </c>
      <c r="Y1" s="904" t="s">
        <v>663</v>
      </c>
      <c r="Z1" s="904" t="s">
        <v>662</v>
      </c>
      <c r="AA1" s="904" t="s">
        <v>665</v>
      </c>
      <c r="AB1" s="904" t="s">
        <v>664</v>
      </c>
      <c r="AC1" s="904" t="s">
        <v>666</v>
      </c>
      <c r="AD1" s="904" t="s">
        <v>668</v>
      </c>
      <c r="AE1" s="904" t="s">
        <v>667</v>
      </c>
      <c r="AF1" s="904" t="s">
        <v>670</v>
      </c>
      <c r="AG1" s="904" t="s">
        <v>669</v>
      </c>
      <c r="AH1" s="904" t="s">
        <v>671</v>
      </c>
      <c r="AI1" s="904" t="s">
        <v>673</v>
      </c>
      <c r="AJ1" s="904" t="s">
        <v>672</v>
      </c>
      <c r="AK1" s="904" t="s">
        <v>675</v>
      </c>
      <c r="AL1" s="904" t="s">
        <v>674</v>
      </c>
      <c r="AM1" s="904" t="s">
        <v>676</v>
      </c>
      <c r="AN1" s="904" t="s">
        <v>678</v>
      </c>
      <c r="AO1" s="904" t="s">
        <v>677</v>
      </c>
      <c r="AP1" s="904" t="s">
        <v>680</v>
      </c>
      <c r="AQ1" s="904" t="s">
        <v>679</v>
      </c>
      <c r="AR1" s="904" t="s">
        <v>681</v>
      </c>
      <c r="AS1" s="904" t="s">
        <v>682</v>
      </c>
      <c r="AT1" s="904" t="s">
        <v>683</v>
      </c>
      <c r="AU1" s="904" t="s">
        <v>685</v>
      </c>
      <c r="AV1" s="904" t="s">
        <v>684</v>
      </c>
      <c r="AW1" s="904" t="s">
        <v>686</v>
      </c>
    </row>
    <row r="2" spans="1:49" x14ac:dyDescent="0.25">
      <c r="A2" s="565" t="s">
        <v>728</v>
      </c>
      <c r="B2" s="565" t="s">
        <v>706</v>
      </c>
      <c r="C2" s="565" t="s">
        <v>689</v>
      </c>
      <c r="D2" s="565" t="s">
        <v>690</v>
      </c>
      <c r="E2" s="565" t="s">
        <v>691</v>
      </c>
      <c r="F2" s="565"/>
      <c r="G2" s="565"/>
      <c r="H2" s="565" t="s">
        <v>692</v>
      </c>
      <c r="I2" s="565" t="s">
        <v>693</v>
      </c>
      <c r="J2" s="565" t="s">
        <v>694</v>
      </c>
      <c r="K2" s="565" t="s">
        <v>38</v>
      </c>
      <c r="L2" s="565" t="s">
        <v>38</v>
      </c>
      <c r="M2" s="565" t="s">
        <v>695</v>
      </c>
      <c r="N2" s="565"/>
      <c r="O2" s="565">
        <v>141.322</v>
      </c>
      <c r="P2" s="565">
        <v>0</v>
      </c>
      <c r="Q2" s="565">
        <v>0.129</v>
      </c>
      <c r="R2" s="565">
        <v>141.322</v>
      </c>
      <c r="S2" s="565">
        <v>141.45099999999999</v>
      </c>
      <c r="T2" s="565">
        <v>142.66399999999999</v>
      </c>
      <c r="U2" s="565">
        <v>0</v>
      </c>
      <c r="V2" s="565">
        <v>0.129</v>
      </c>
      <c r="W2" s="565">
        <v>142.66399999999999</v>
      </c>
      <c r="X2" s="565">
        <v>142.79300000000001</v>
      </c>
      <c r="Y2" s="565">
        <v>106.864</v>
      </c>
      <c r="Z2" s="565">
        <v>35.801000000000002</v>
      </c>
      <c r="AA2" s="565">
        <v>0.129</v>
      </c>
      <c r="AB2" s="565"/>
      <c r="AD2" s="565">
        <v>124.27</v>
      </c>
      <c r="AE2" s="565">
        <v>41106</v>
      </c>
      <c r="AF2" s="565">
        <v>0.104</v>
      </c>
      <c r="AG2" s="565"/>
      <c r="AI2" s="565">
        <v>106.864</v>
      </c>
      <c r="AJ2" s="565">
        <v>35.801000000000002</v>
      </c>
      <c r="AK2" s="565">
        <v>0.129</v>
      </c>
      <c r="AL2" s="565"/>
      <c r="AN2" s="565">
        <v>124.27</v>
      </c>
      <c r="AO2" s="565">
        <v>41106</v>
      </c>
      <c r="AP2" s="565">
        <v>0.104</v>
      </c>
      <c r="AQ2" s="565"/>
      <c r="AS2" s="565">
        <v>611.21</v>
      </c>
      <c r="AT2" s="565">
        <v>75.8</v>
      </c>
      <c r="AU2" s="565">
        <v>633.83000000000004</v>
      </c>
      <c r="AV2" s="565">
        <v>574.62</v>
      </c>
      <c r="AW2" s="565">
        <v>1142.54</v>
      </c>
    </row>
    <row r="3" spans="1:49" x14ac:dyDescent="0.25">
      <c r="A3" s="565" t="s">
        <v>728</v>
      </c>
      <c r="B3" s="565" t="s">
        <v>707</v>
      </c>
      <c r="C3" s="565" t="s">
        <v>689</v>
      </c>
      <c r="D3" s="565" t="s">
        <v>690</v>
      </c>
      <c r="E3" s="565" t="s">
        <v>691</v>
      </c>
      <c r="F3" s="565"/>
      <c r="G3" s="565"/>
      <c r="H3" s="565" t="s">
        <v>692</v>
      </c>
      <c r="I3" s="565" t="s">
        <v>693</v>
      </c>
      <c r="J3" s="565" t="s">
        <v>694</v>
      </c>
      <c r="K3" s="565" t="s">
        <v>38</v>
      </c>
      <c r="L3" s="565" t="s">
        <v>38</v>
      </c>
      <c r="M3" s="565" t="s">
        <v>695</v>
      </c>
      <c r="N3" s="565"/>
      <c r="O3" s="565">
        <v>141.262</v>
      </c>
      <c r="P3" s="565">
        <v>0</v>
      </c>
      <c r="Q3" s="565">
        <v>0.129</v>
      </c>
      <c r="R3" s="565">
        <v>141.262</v>
      </c>
      <c r="S3" s="565">
        <v>141.39099999999999</v>
      </c>
      <c r="T3" s="565">
        <v>142.60400000000001</v>
      </c>
      <c r="U3" s="565">
        <v>0</v>
      </c>
      <c r="V3" s="565">
        <v>0.129</v>
      </c>
      <c r="W3" s="565">
        <v>142.60400000000001</v>
      </c>
      <c r="X3" s="565">
        <v>142.733</v>
      </c>
      <c r="Y3" s="565">
        <v>106.819</v>
      </c>
      <c r="Z3" s="565">
        <v>35.786000000000001</v>
      </c>
      <c r="AA3" s="565">
        <v>0.129</v>
      </c>
      <c r="AB3" s="565"/>
      <c r="AD3" s="565">
        <v>124.218</v>
      </c>
      <c r="AE3" s="565">
        <v>41088</v>
      </c>
      <c r="AF3" s="565">
        <v>0.104</v>
      </c>
      <c r="AG3" s="565"/>
      <c r="AI3" s="565">
        <v>106.819</v>
      </c>
      <c r="AJ3" s="565">
        <v>35.786000000000001</v>
      </c>
      <c r="AK3" s="565">
        <v>0.129</v>
      </c>
      <c r="AL3" s="565"/>
      <c r="AN3" s="565">
        <v>124.218</v>
      </c>
      <c r="AO3" s="565">
        <v>41088</v>
      </c>
      <c r="AP3" s="565">
        <v>0.104</v>
      </c>
      <c r="AQ3" s="565"/>
      <c r="AS3" s="565">
        <v>611.17999999999995</v>
      </c>
      <c r="AT3" s="565">
        <v>75.88</v>
      </c>
      <c r="AU3" s="565">
        <v>633.78</v>
      </c>
      <c r="AV3" s="565">
        <v>574.55999999999995</v>
      </c>
      <c r="AW3" s="565">
        <v>1142.54</v>
      </c>
    </row>
    <row r="4" spans="1:49" x14ac:dyDescent="0.25">
      <c r="A4" s="565" t="s">
        <v>728</v>
      </c>
      <c r="B4" s="565" t="s">
        <v>708</v>
      </c>
      <c r="C4" s="565" t="s">
        <v>689</v>
      </c>
      <c r="D4" s="565" t="s">
        <v>690</v>
      </c>
      <c r="E4" s="565" t="s">
        <v>691</v>
      </c>
      <c r="F4" s="565"/>
      <c r="G4" s="565"/>
      <c r="H4" s="565" t="s">
        <v>692</v>
      </c>
      <c r="I4" s="565" t="s">
        <v>693</v>
      </c>
      <c r="J4" s="565" t="s">
        <v>694</v>
      </c>
      <c r="K4" s="565" t="s">
        <v>38</v>
      </c>
      <c r="L4" s="565" t="s">
        <v>38</v>
      </c>
      <c r="M4" s="565" t="s">
        <v>695</v>
      </c>
      <c r="N4" s="565"/>
      <c r="O4" s="565">
        <v>141.24799999999999</v>
      </c>
      <c r="P4" s="565">
        <v>0</v>
      </c>
      <c r="Q4" s="565">
        <v>0.129</v>
      </c>
      <c r="R4" s="565">
        <v>141.24799999999999</v>
      </c>
      <c r="S4" s="565">
        <v>141.37700000000001</v>
      </c>
      <c r="T4" s="565">
        <v>142.59</v>
      </c>
      <c r="U4" s="565">
        <v>0</v>
      </c>
      <c r="V4" s="565">
        <v>0.129</v>
      </c>
      <c r="W4" s="565">
        <v>142.59</v>
      </c>
      <c r="X4" s="565">
        <v>142.71899999999999</v>
      </c>
      <c r="Y4" s="565">
        <v>106.80800000000001</v>
      </c>
      <c r="Z4" s="565">
        <v>35.781999999999996</v>
      </c>
      <c r="AA4" s="565">
        <v>0.129</v>
      </c>
      <c r="AB4" s="565"/>
      <c r="AD4" s="565">
        <v>124.206</v>
      </c>
      <c r="AE4" s="565">
        <v>41084</v>
      </c>
      <c r="AF4" s="565">
        <v>0.104</v>
      </c>
      <c r="AG4" s="565"/>
      <c r="AI4" s="565">
        <v>106.80800000000001</v>
      </c>
      <c r="AJ4" s="565">
        <v>35.781999999999996</v>
      </c>
      <c r="AK4" s="565">
        <v>0.129</v>
      </c>
      <c r="AL4" s="565"/>
      <c r="AN4" s="565">
        <v>124.206</v>
      </c>
      <c r="AO4" s="565">
        <v>41084</v>
      </c>
      <c r="AP4" s="565">
        <v>0.104</v>
      </c>
      <c r="AQ4" s="565"/>
      <c r="AS4" s="565">
        <v>611.15</v>
      </c>
      <c r="AT4" s="565">
        <v>75.94</v>
      </c>
      <c r="AU4" s="565">
        <v>633.73</v>
      </c>
      <c r="AV4" s="565">
        <v>574.51</v>
      </c>
      <c r="AW4" s="565">
        <v>1142.54</v>
      </c>
    </row>
    <row r="5" spans="1:49" x14ac:dyDescent="0.25">
      <c r="A5" s="565" t="s">
        <v>728</v>
      </c>
      <c r="B5" s="565" t="s">
        <v>709</v>
      </c>
      <c r="C5" s="565" t="s">
        <v>689</v>
      </c>
      <c r="D5" s="565" t="s">
        <v>690</v>
      </c>
      <c r="E5" s="565" t="s">
        <v>691</v>
      </c>
      <c r="F5" s="565"/>
      <c r="G5" s="565"/>
      <c r="H5" s="565" t="s">
        <v>692</v>
      </c>
      <c r="I5" s="565" t="s">
        <v>693</v>
      </c>
      <c r="J5" s="565" t="s">
        <v>694</v>
      </c>
      <c r="K5" s="565" t="s">
        <v>38</v>
      </c>
      <c r="L5" s="565" t="s">
        <v>38</v>
      </c>
      <c r="M5" s="565" t="s">
        <v>695</v>
      </c>
      <c r="N5" s="565"/>
      <c r="O5" s="565">
        <v>141.196</v>
      </c>
      <c r="P5" s="565">
        <v>0</v>
      </c>
      <c r="Q5" s="565">
        <v>0.129</v>
      </c>
      <c r="R5" s="565">
        <v>141.196</v>
      </c>
      <c r="S5" s="565">
        <v>141.32400000000001</v>
      </c>
      <c r="T5" s="565">
        <v>142.53700000000001</v>
      </c>
      <c r="U5" s="565">
        <v>0</v>
      </c>
      <c r="V5" s="565">
        <v>0.129</v>
      </c>
      <c r="W5" s="565">
        <v>142.53700000000001</v>
      </c>
      <c r="X5" s="565">
        <v>142.666</v>
      </c>
      <c r="Y5" s="565">
        <v>106.768</v>
      </c>
      <c r="Z5" s="565">
        <v>35.768999999999998</v>
      </c>
      <c r="AA5" s="565">
        <v>0.129</v>
      </c>
      <c r="AB5" s="565"/>
      <c r="AD5" s="565">
        <v>124.15900000000001</v>
      </c>
      <c r="AE5" s="565">
        <v>41069</v>
      </c>
      <c r="AF5" s="565">
        <v>0.10299999999999999</v>
      </c>
      <c r="AG5" s="565"/>
      <c r="AI5" s="565">
        <v>106.768</v>
      </c>
      <c r="AJ5" s="565">
        <v>35.768999999999998</v>
      </c>
      <c r="AK5" s="565">
        <v>0.129</v>
      </c>
      <c r="AL5" s="565"/>
      <c r="AN5" s="565">
        <v>124.15900000000001</v>
      </c>
      <c r="AO5" s="565">
        <v>41069</v>
      </c>
      <c r="AP5" s="565">
        <v>0.10299999999999999</v>
      </c>
      <c r="AQ5" s="565"/>
      <c r="AS5" s="565">
        <v>611.13</v>
      </c>
      <c r="AT5" s="565">
        <v>76.010000000000005</v>
      </c>
      <c r="AU5" s="565">
        <v>633.69000000000005</v>
      </c>
      <c r="AV5" s="565">
        <v>574.46</v>
      </c>
      <c r="AW5" s="565">
        <v>1142.54</v>
      </c>
    </row>
    <row r="6" spans="1:49" x14ac:dyDescent="0.25">
      <c r="A6" s="565" t="s">
        <v>728</v>
      </c>
      <c r="B6" s="565" t="s">
        <v>710</v>
      </c>
      <c r="C6" s="565" t="s">
        <v>689</v>
      </c>
      <c r="D6" s="565" t="s">
        <v>690</v>
      </c>
      <c r="E6" s="565" t="s">
        <v>691</v>
      </c>
      <c r="F6" s="565"/>
      <c r="G6" s="565"/>
      <c r="H6" s="565" t="s">
        <v>692</v>
      </c>
      <c r="I6" s="565" t="s">
        <v>693</v>
      </c>
      <c r="J6" s="565" t="s">
        <v>694</v>
      </c>
      <c r="K6" s="565" t="s">
        <v>38</v>
      </c>
      <c r="L6" s="565" t="s">
        <v>38</v>
      </c>
      <c r="M6" s="565" t="s">
        <v>695</v>
      </c>
      <c r="N6" s="565"/>
      <c r="O6" s="565">
        <v>141.17599999999999</v>
      </c>
      <c r="P6" s="565">
        <v>0</v>
      </c>
      <c r="Q6" s="565">
        <v>0.129</v>
      </c>
      <c r="R6" s="565">
        <v>141.17599999999999</v>
      </c>
      <c r="S6" s="565">
        <v>141.30500000000001</v>
      </c>
      <c r="T6" s="565">
        <v>142.517</v>
      </c>
      <c r="U6" s="565">
        <v>0</v>
      </c>
      <c r="V6" s="565">
        <v>0.129</v>
      </c>
      <c r="W6" s="565">
        <v>142.517</v>
      </c>
      <c r="X6" s="565">
        <v>142.64599999999999</v>
      </c>
      <c r="Y6" s="565">
        <v>106.753</v>
      </c>
      <c r="Z6" s="565">
        <v>35.764000000000003</v>
      </c>
      <c r="AA6" s="565">
        <v>0.129</v>
      </c>
      <c r="AB6" s="565"/>
      <c r="AD6" s="565">
        <v>124.142</v>
      </c>
      <c r="AE6" s="565">
        <v>41063</v>
      </c>
      <c r="AF6" s="565">
        <v>0.10299999999999999</v>
      </c>
      <c r="AG6" s="565"/>
      <c r="AI6" s="565">
        <v>106.753</v>
      </c>
      <c r="AJ6" s="565">
        <v>35.764000000000003</v>
      </c>
      <c r="AK6" s="565">
        <v>0.129</v>
      </c>
      <c r="AL6" s="565"/>
      <c r="AN6" s="565">
        <v>124.142</v>
      </c>
      <c r="AO6" s="565">
        <v>41063</v>
      </c>
      <c r="AP6" s="565">
        <v>0.10299999999999999</v>
      </c>
      <c r="AQ6" s="565"/>
      <c r="AS6" s="565">
        <v>611.11</v>
      </c>
      <c r="AT6" s="565">
        <v>76.06</v>
      </c>
      <c r="AU6" s="565">
        <v>633.65</v>
      </c>
      <c r="AV6" s="565">
        <v>574.41</v>
      </c>
      <c r="AW6" s="565">
        <v>1142.54</v>
      </c>
    </row>
    <row r="7" spans="1:49" x14ac:dyDescent="0.25">
      <c r="A7" s="565" t="s">
        <v>728</v>
      </c>
      <c r="B7" s="565" t="s">
        <v>711</v>
      </c>
      <c r="C7" s="565" t="s">
        <v>689</v>
      </c>
      <c r="D7" s="565" t="s">
        <v>690</v>
      </c>
      <c r="E7" s="565" t="s">
        <v>691</v>
      </c>
      <c r="F7" s="565"/>
      <c r="G7" s="565"/>
      <c r="H7" s="565" t="s">
        <v>692</v>
      </c>
      <c r="I7" s="565" t="s">
        <v>693</v>
      </c>
      <c r="J7" s="565" t="s">
        <v>694</v>
      </c>
      <c r="K7" s="565" t="s">
        <v>38</v>
      </c>
      <c r="L7" s="565" t="s">
        <v>38</v>
      </c>
      <c r="M7" s="565" t="s">
        <v>695</v>
      </c>
      <c r="N7" s="565"/>
      <c r="O7" s="565">
        <v>141.19900000000001</v>
      </c>
      <c r="P7" s="565">
        <v>0</v>
      </c>
      <c r="Q7" s="565">
        <v>0.129</v>
      </c>
      <c r="R7" s="565">
        <v>141.19900000000001</v>
      </c>
      <c r="S7" s="565">
        <v>141.328</v>
      </c>
      <c r="T7" s="565">
        <v>142.54</v>
      </c>
      <c r="U7" s="565">
        <v>0</v>
      </c>
      <c r="V7" s="565">
        <v>0.129</v>
      </c>
      <c r="W7" s="565">
        <v>142.54</v>
      </c>
      <c r="X7" s="565">
        <v>142.66900000000001</v>
      </c>
      <c r="Y7" s="565">
        <v>106.771</v>
      </c>
      <c r="Z7" s="565">
        <v>35.770000000000003</v>
      </c>
      <c r="AA7" s="565">
        <v>0.129</v>
      </c>
      <c r="AB7" s="565"/>
      <c r="AD7" s="565">
        <v>124.16200000000001</v>
      </c>
      <c r="AE7" s="565">
        <v>41070</v>
      </c>
      <c r="AF7" s="565">
        <v>0.10299999999999999</v>
      </c>
      <c r="AG7" s="565"/>
      <c r="AI7" s="565">
        <v>106.771</v>
      </c>
      <c r="AJ7" s="565">
        <v>35.770000000000003</v>
      </c>
      <c r="AK7" s="565">
        <v>0.129</v>
      </c>
      <c r="AL7" s="565"/>
      <c r="AN7" s="565">
        <v>124.16200000000001</v>
      </c>
      <c r="AO7" s="565">
        <v>41070</v>
      </c>
      <c r="AP7" s="565">
        <v>0.10299999999999999</v>
      </c>
      <c r="AQ7" s="565"/>
      <c r="AS7" s="565">
        <v>611.08000000000004</v>
      </c>
      <c r="AT7" s="565">
        <v>76.099999999999994</v>
      </c>
      <c r="AU7" s="565">
        <v>633.62</v>
      </c>
      <c r="AV7" s="565">
        <v>574.38</v>
      </c>
      <c r="AW7" s="565">
        <v>1142.54</v>
      </c>
    </row>
    <row r="8" spans="1:49" x14ac:dyDescent="0.25">
      <c r="A8" s="565" t="s">
        <v>728</v>
      </c>
      <c r="B8" s="565" t="s">
        <v>712</v>
      </c>
      <c r="C8" s="565" t="s">
        <v>689</v>
      </c>
      <c r="D8" s="565" t="s">
        <v>690</v>
      </c>
      <c r="E8" s="565" t="s">
        <v>691</v>
      </c>
      <c r="F8" s="565"/>
      <c r="G8" s="565"/>
      <c r="H8" s="565" t="s">
        <v>692</v>
      </c>
      <c r="I8" s="565" t="s">
        <v>693</v>
      </c>
      <c r="J8" s="565" t="s">
        <v>694</v>
      </c>
      <c r="K8" s="565" t="s">
        <v>38</v>
      </c>
      <c r="L8" s="565" t="s">
        <v>38</v>
      </c>
      <c r="M8" s="565" t="s">
        <v>695</v>
      </c>
      <c r="N8" s="565"/>
      <c r="O8" s="565">
        <v>141.15199999999999</v>
      </c>
      <c r="P8" s="565">
        <v>0</v>
      </c>
      <c r="Q8" s="565">
        <v>0.129</v>
      </c>
      <c r="R8" s="565">
        <v>141.15199999999999</v>
      </c>
      <c r="S8" s="565">
        <v>141.28100000000001</v>
      </c>
      <c r="T8" s="565">
        <v>142.49299999999999</v>
      </c>
      <c r="U8" s="565">
        <v>0</v>
      </c>
      <c r="V8" s="565">
        <v>0.129</v>
      </c>
      <c r="W8" s="565">
        <v>142.49299999999999</v>
      </c>
      <c r="X8" s="565">
        <v>142.62200000000001</v>
      </c>
      <c r="Y8" s="565">
        <v>106.735</v>
      </c>
      <c r="Z8" s="565">
        <v>35.758000000000003</v>
      </c>
      <c r="AA8" s="565">
        <v>0.129</v>
      </c>
      <c r="AB8" s="565"/>
      <c r="AD8" s="565">
        <v>124.121</v>
      </c>
      <c r="AE8" s="565">
        <v>41056</v>
      </c>
      <c r="AF8" s="565">
        <v>0.10299999999999999</v>
      </c>
      <c r="AG8" s="565"/>
      <c r="AI8" s="565">
        <v>106.735</v>
      </c>
      <c r="AJ8" s="565">
        <v>35.758000000000003</v>
      </c>
      <c r="AK8" s="565">
        <v>0.129</v>
      </c>
      <c r="AL8" s="565"/>
      <c r="AN8" s="565">
        <v>124.121</v>
      </c>
      <c r="AO8" s="565">
        <v>41056</v>
      </c>
      <c r="AP8" s="565">
        <v>0.10299999999999999</v>
      </c>
      <c r="AQ8" s="565"/>
      <c r="AS8" s="565">
        <v>611.04999999999995</v>
      </c>
      <c r="AT8" s="565">
        <v>76.150000000000006</v>
      </c>
      <c r="AU8" s="565">
        <v>633.58000000000004</v>
      </c>
      <c r="AV8" s="565">
        <v>574.34</v>
      </c>
      <c r="AW8" s="565">
        <v>1142.54</v>
      </c>
    </row>
    <row r="9" spans="1:49" x14ac:dyDescent="0.25">
      <c r="A9" s="565" t="s">
        <v>728</v>
      </c>
      <c r="B9" s="565" t="s">
        <v>713</v>
      </c>
      <c r="C9" s="565" t="s">
        <v>689</v>
      </c>
      <c r="D9" s="565" t="s">
        <v>690</v>
      </c>
      <c r="E9" s="565" t="s">
        <v>691</v>
      </c>
      <c r="F9" s="565"/>
      <c r="G9" s="565"/>
      <c r="H9" s="565" t="s">
        <v>692</v>
      </c>
      <c r="I9" s="565" t="s">
        <v>693</v>
      </c>
      <c r="J9" s="565" t="s">
        <v>694</v>
      </c>
      <c r="K9" s="565" t="s">
        <v>38</v>
      </c>
      <c r="L9" s="565" t="s">
        <v>38</v>
      </c>
      <c r="M9" s="565" t="s">
        <v>695</v>
      </c>
      <c r="N9" s="565"/>
      <c r="O9" s="565">
        <v>141.15</v>
      </c>
      <c r="P9" s="565">
        <v>0</v>
      </c>
      <c r="Q9" s="565">
        <v>0.129</v>
      </c>
      <c r="R9" s="565">
        <v>141.15</v>
      </c>
      <c r="S9" s="565">
        <v>141.279</v>
      </c>
      <c r="T9" s="565">
        <v>142.49100000000001</v>
      </c>
      <c r="U9" s="565">
        <v>0</v>
      </c>
      <c r="V9" s="565">
        <v>0.129</v>
      </c>
      <c r="W9" s="565">
        <v>142.49100000000001</v>
      </c>
      <c r="X9" s="565">
        <v>142.62</v>
      </c>
      <c r="Y9" s="565">
        <v>106.73399999999999</v>
      </c>
      <c r="Z9" s="565">
        <v>35.756999999999998</v>
      </c>
      <c r="AA9" s="565">
        <v>0.129</v>
      </c>
      <c r="AB9" s="565"/>
      <c r="AD9" s="565">
        <v>124.119</v>
      </c>
      <c r="AE9" s="565">
        <v>41056</v>
      </c>
      <c r="AF9" s="565">
        <v>0.10299999999999999</v>
      </c>
      <c r="AG9" s="565"/>
      <c r="AI9" s="565">
        <v>106.73399999999999</v>
      </c>
      <c r="AJ9" s="565">
        <v>35.756999999999998</v>
      </c>
      <c r="AK9" s="565">
        <v>0.129</v>
      </c>
      <c r="AL9" s="565"/>
      <c r="AN9" s="565">
        <v>124.119</v>
      </c>
      <c r="AO9" s="565">
        <v>41056</v>
      </c>
      <c r="AP9" s="565">
        <v>0.10299999999999999</v>
      </c>
      <c r="AQ9" s="565"/>
      <c r="AS9" s="565">
        <v>611.03</v>
      </c>
      <c r="AT9" s="565">
        <v>76.209999999999994</v>
      </c>
      <c r="AU9" s="565">
        <v>633.54</v>
      </c>
      <c r="AV9" s="565">
        <v>574.29</v>
      </c>
      <c r="AW9" s="565">
        <v>1142.54</v>
      </c>
    </row>
    <row r="10" spans="1:49" x14ac:dyDescent="0.25">
      <c r="A10" s="565" t="s">
        <v>728</v>
      </c>
      <c r="B10" s="565" t="s">
        <v>714</v>
      </c>
      <c r="C10" s="565" t="s">
        <v>689</v>
      </c>
      <c r="D10" s="565" t="s">
        <v>690</v>
      </c>
      <c r="E10" s="565" t="s">
        <v>691</v>
      </c>
      <c r="F10" s="565"/>
      <c r="G10" s="565"/>
      <c r="H10" s="565" t="s">
        <v>692</v>
      </c>
      <c r="I10" s="565" t="s">
        <v>693</v>
      </c>
      <c r="J10" s="565" t="s">
        <v>694</v>
      </c>
      <c r="K10" s="565" t="s">
        <v>38</v>
      </c>
      <c r="L10" s="565" t="s">
        <v>38</v>
      </c>
      <c r="M10" s="565" t="s">
        <v>695</v>
      </c>
      <c r="N10" s="565"/>
      <c r="O10" s="565">
        <v>141.17400000000001</v>
      </c>
      <c r="P10" s="565">
        <v>0</v>
      </c>
      <c r="Q10" s="565">
        <v>0.129</v>
      </c>
      <c r="R10" s="565">
        <v>141.17400000000001</v>
      </c>
      <c r="S10" s="565">
        <v>141.303</v>
      </c>
      <c r="T10" s="565">
        <v>142.51499999999999</v>
      </c>
      <c r="U10" s="565">
        <v>0</v>
      </c>
      <c r="V10" s="565">
        <v>0.129</v>
      </c>
      <c r="W10" s="565">
        <v>142.51499999999999</v>
      </c>
      <c r="X10" s="565">
        <v>142.64400000000001</v>
      </c>
      <c r="Y10" s="565">
        <v>106.752</v>
      </c>
      <c r="Z10" s="565">
        <v>35.762999999999998</v>
      </c>
      <c r="AA10" s="565">
        <v>0.129</v>
      </c>
      <c r="AB10" s="565"/>
      <c r="AD10" s="565">
        <v>124.14100000000001</v>
      </c>
      <c r="AE10" s="565">
        <v>41063</v>
      </c>
      <c r="AF10" s="565">
        <v>0.10299999999999999</v>
      </c>
      <c r="AG10" s="565"/>
      <c r="AI10" s="565">
        <v>106.752</v>
      </c>
      <c r="AJ10" s="565">
        <v>35.762999999999998</v>
      </c>
      <c r="AK10" s="565">
        <v>0.129</v>
      </c>
      <c r="AL10" s="565"/>
      <c r="AN10" s="565">
        <v>124.14100000000001</v>
      </c>
      <c r="AO10" s="565">
        <v>41063</v>
      </c>
      <c r="AP10" s="565">
        <v>0.10299999999999999</v>
      </c>
      <c r="AQ10" s="565"/>
      <c r="AS10" s="565">
        <v>610.99</v>
      </c>
      <c r="AT10" s="565">
        <v>76.27</v>
      </c>
      <c r="AU10" s="565">
        <v>633.5</v>
      </c>
      <c r="AV10" s="565">
        <v>574.25</v>
      </c>
      <c r="AW10" s="565">
        <v>1142.54</v>
      </c>
    </row>
    <row r="11" spans="1:49" x14ac:dyDescent="0.25">
      <c r="A11" s="565" t="s">
        <v>728</v>
      </c>
      <c r="B11" s="565" t="s">
        <v>715</v>
      </c>
      <c r="C11" s="565" t="s">
        <v>689</v>
      </c>
      <c r="D11" s="565" t="s">
        <v>690</v>
      </c>
      <c r="E11" s="565" t="s">
        <v>691</v>
      </c>
      <c r="F11" s="565"/>
      <c r="G11" s="565"/>
      <c r="H11" s="565" t="s">
        <v>692</v>
      </c>
      <c r="I11" s="565" t="s">
        <v>693</v>
      </c>
      <c r="J11" s="565" t="s">
        <v>694</v>
      </c>
      <c r="K11" s="565" t="s">
        <v>38</v>
      </c>
      <c r="L11" s="565" t="s">
        <v>38</v>
      </c>
      <c r="M11" s="565" t="s">
        <v>695</v>
      </c>
      <c r="N11" s="565"/>
      <c r="O11" s="565">
        <v>141.21</v>
      </c>
      <c r="P11" s="565">
        <v>0</v>
      </c>
      <c r="Q11" s="565">
        <v>0.129</v>
      </c>
      <c r="R11" s="565">
        <v>141.21</v>
      </c>
      <c r="S11" s="565">
        <v>141.339</v>
      </c>
      <c r="T11" s="565">
        <v>142.55099999999999</v>
      </c>
      <c r="U11" s="565">
        <v>0</v>
      </c>
      <c r="V11" s="565">
        <v>0.129</v>
      </c>
      <c r="W11" s="565">
        <v>142.55099999999999</v>
      </c>
      <c r="X11" s="565">
        <v>142.68</v>
      </c>
      <c r="Y11" s="565">
        <v>106.779</v>
      </c>
      <c r="Z11" s="565">
        <v>35.771999999999998</v>
      </c>
      <c r="AA11" s="565">
        <v>0.129</v>
      </c>
      <c r="AB11" s="565"/>
      <c r="AD11" s="565">
        <v>124.172</v>
      </c>
      <c r="AE11" s="565">
        <v>41073</v>
      </c>
      <c r="AF11" s="565">
        <v>0.104</v>
      </c>
      <c r="AG11" s="565"/>
      <c r="AI11" s="565">
        <v>106.779</v>
      </c>
      <c r="AJ11" s="565">
        <v>35.771999999999998</v>
      </c>
      <c r="AK11" s="565">
        <v>0.129</v>
      </c>
      <c r="AL11" s="565"/>
      <c r="AN11" s="565">
        <v>124.172</v>
      </c>
      <c r="AO11" s="565">
        <v>41073</v>
      </c>
      <c r="AP11" s="565">
        <v>0.104</v>
      </c>
      <c r="AQ11" s="565"/>
      <c r="AS11" s="565">
        <v>610.94000000000005</v>
      </c>
      <c r="AT11" s="565">
        <v>76.319999999999993</v>
      </c>
      <c r="AU11" s="565">
        <v>633.46</v>
      </c>
      <c r="AV11" s="565">
        <v>574.21</v>
      </c>
      <c r="AW11" s="565">
        <v>1142.54</v>
      </c>
    </row>
    <row r="12" spans="1:49" x14ac:dyDescent="0.25">
      <c r="A12" s="565" t="s">
        <v>728</v>
      </c>
      <c r="B12" s="565" t="s">
        <v>716</v>
      </c>
      <c r="C12" s="565" t="s">
        <v>689</v>
      </c>
      <c r="D12" s="565" t="s">
        <v>690</v>
      </c>
      <c r="E12" s="565" t="s">
        <v>691</v>
      </c>
      <c r="F12" s="565"/>
      <c r="G12" s="565"/>
      <c r="H12" s="565" t="s">
        <v>692</v>
      </c>
      <c r="I12" s="565" t="s">
        <v>693</v>
      </c>
      <c r="J12" s="565" t="s">
        <v>694</v>
      </c>
      <c r="K12" s="565" t="s">
        <v>38</v>
      </c>
      <c r="L12" s="565" t="s">
        <v>38</v>
      </c>
      <c r="M12" s="565" t="s">
        <v>695</v>
      </c>
      <c r="N12" s="565"/>
      <c r="O12" s="565">
        <v>141.18899999999999</v>
      </c>
      <c r="P12" s="565">
        <v>0</v>
      </c>
      <c r="Q12" s="565">
        <v>0.129</v>
      </c>
      <c r="R12" s="565">
        <v>141.18899999999999</v>
      </c>
      <c r="S12" s="565">
        <v>141.31800000000001</v>
      </c>
      <c r="T12" s="565">
        <v>142.53</v>
      </c>
      <c r="U12" s="565">
        <v>0</v>
      </c>
      <c r="V12" s="565">
        <v>0.129</v>
      </c>
      <c r="W12" s="565">
        <v>142.53</v>
      </c>
      <c r="X12" s="565">
        <v>142.65899999999999</v>
      </c>
      <c r="Y12" s="565">
        <v>106.76300000000001</v>
      </c>
      <c r="Z12" s="565">
        <v>35.767000000000003</v>
      </c>
      <c r="AA12" s="565">
        <v>0.129</v>
      </c>
      <c r="AB12" s="565"/>
      <c r="AD12" s="565">
        <v>124.154</v>
      </c>
      <c r="AE12" s="565">
        <v>41067</v>
      </c>
      <c r="AF12" s="565">
        <v>0.104</v>
      </c>
      <c r="AG12" s="565"/>
      <c r="AI12" s="565">
        <v>106.76300000000001</v>
      </c>
      <c r="AJ12" s="565">
        <v>35.767000000000003</v>
      </c>
      <c r="AK12" s="565">
        <v>0.129</v>
      </c>
      <c r="AL12" s="565"/>
      <c r="AN12" s="565">
        <v>124.154</v>
      </c>
      <c r="AO12" s="565">
        <v>41067</v>
      </c>
      <c r="AP12" s="565">
        <v>0.104</v>
      </c>
      <c r="AQ12" s="565"/>
      <c r="AS12" s="565">
        <v>610.9</v>
      </c>
      <c r="AT12" s="565">
        <v>76.36</v>
      </c>
      <c r="AU12" s="565">
        <v>633.42999999999995</v>
      </c>
      <c r="AV12" s="565">
        <v>574.17999999999995</v>
      </c>
      <c r="AW12" s="565">
        <v>1142.54</v>
      </c>
    </row>
    <row r="13" spans="1:49" x14ac:dyDescent="0.25">
      <c r="A13" s="565" t="s">
        <v>728</v>
      </c>
      <c r="B13" s="565" t="s">
        <v>717</v>
      </c>
      <c r="C13" s="565" t="s">
        <v>689</v>
      </c>
      <c r="D13" s="565" t="s">
        <v>690</v>
      </c>
      <c r="E13" s="565" t="s">
        <v>691</v>
      </c>
      <c r="F13" s="565"/>
      <c r="G13" s="565"/>
      <c r="H13" s="565" t="s">
        <v>692</v>
      </c>
      <c r="I13" s="565" t="s">
        <v>693</v>
      </c>
      <c r="J13" s="565" t="s">
        <v>694</v>
      </c>
      <c r="K13" s="565" t="s">
        <v>38</v>
      </c>
      <c r="L13" s="565" t="s">
        <v>38</v>
      </c>
      <c r="M13" s="565" t="s">
        <v>695</v>
      </c>
      <c r="N13" s="565"/>
      <c r="O13" s="565">
        <v>141.20500000000001</v>
      </c>
      <c r="P13" s="565">
        <v>0</v>
      </c>
      <c r="Q13" s="565">
        <v>0.129</v>
      </c>
      <c r="R13" s="565">
        <v>141.20500000000001</v>
      </c>
      <c r="S13" s="565">
        <v>141.333</v>
      </c>
      <c r="T13" s="565">
        <v>142.54599999999999</v>
      </c>
      <c r="U13" s="565">
        <v>0</v>
      </c>
      <c r="V13" s="565">
        <v>0.129</v>
      </c>
      <c r="W13" s="565">
        <v>142.54599999999999</v>
      </c>
      <c r="X13" s="565">
        <v>142.67500000000001</v>
      </c>
      <c r="Y13" s="565">
        <v>106.77500000000001</v>
      </c>
      <c r="Z13" s="565">
        <v>35.771000000000001</v>
      </c>
      <c r="AA13" s="565">
        <v>0.129</v>
      </c>
      <c r="AB13" s="565"/>
      <c r="AD13" s="565">
        <v>124.167</v>
      </c>
      <c r="AE13" s="565">
        <v>41072</v>
      </c>
      <c r="AF13" s="565">
        <v>0.104</v>
      </c>
      <c r="AG13" s="565"/>
      <c r="AI13" s="565">
        <v>106.77500000000001</v>
      </c>
      <c r="AJ13" s="565">
        <v>35.771000000000001</v>
      </c>
      <c r="AK13" s="565">
        <v>0.129</v>
      </c>
      <c r="AL13" s="565"/>
      <c r="AN13" s="565">
        <v>124.167</v>
      </c>
      <c r="AO13" s="565">
        <v>41072</v>
      </c>
      <c r="AP13" s="565">
        <v>0.104</v>
      </c>
      <c r="AQ13" s="565"/>
      <c r="AS13" s="565">
        <v>610.87</v>
      </c>
      <c r="AT13" s="565">
        <v>76.400000000000006</v>
      </c>
      <c r="AU13" s="565">
        <v>633.4</v>
      </c>
      <c r="AV13" s="565">
        <v>574.14</v>
      </c>
      <c r="AW13" s="565">
        <v>1142.54</v>
      </c>
    </row>
    <row r="14" spans="1:49" x14ac:dyDescent="0.25">
      <c r="A14" s="565" t="s">
        <v>728</v>
      </c>
      <c r="B14" s="565" t="s">
        <v>718</v>
      </c>
      <c r="C14" s="565" t="s">
        <v>689</v>
      </c>
      <c r="D14" s="565" t="s">
        <v>690</v>
      </c>
      <c r="E14" s="565" t="s">
        <v>691</v>
      </c>
      <c r="F14" s="565"/>
      <c r="G14" s="565"/>
      <c r="H14" s="565" t="s">
        <v>692</v>
      </c>
      <c r="I14" s="565" t="s">
        <v>693</v>
      </c>
      <c r="J14" s="565" t="s">
        <v>694</v>
      </c>
      <c r="K14" s="565" t="s">
        <v>38</v>
      </c>
      <c r="L14" s="565" t="s">
        <v>38</v>
      </c>
      <c r="M14" s="565" t="s">
        <v>695</v>
      </c>
      <c r="N14" s="565"/>
      <c r="O14" s="565">
        <v>141.244</v>
      </c>
      <c r="P14" s="565">
        <v>0</v>
      </c>
      <c r="Q14" s="565">
        <v>0.129</v>
      </c>
      <c r="R14" s="565">
        <v>141.244</v>
      </c>
      <c r="S14" s="565">
        <v>141.37299999999999</v>
      </c>
      <c r="T14" s="565">
        <v>142.58600000000001</v>
      </c>
      <c r="U14" s="565">
        <v>0</v>
      </c>
      <c r="V14" s="565">
        <v>0.129</v>
      </c>
      <c r="W14" s="565">
        <v>142.58600000000001</v>
      </c>
      <c r="X14" s="565">
        <v>142.715</v>
      </c>
      <c r="Y14" s="565">
        <v>106.80500000000001</v>
      </c>
      <c r="Z14" s="565">
        <v>35.780999999999999</v>
      </c>
      <c r="AA14" s="565">
        <v>0.129</v>
      </c>
      <c r="AB14" s="565"/>
      <c r="AD14" s="565">
        <v>124.202</v>
      </c>
      <c r="AE14" s="565">
        <v>41083</v>
      </c>
      <c r="AF14" s="565">
        <v>0.104</v>
      </c>
      <c r="AG14" s="565"/>
      <c r="AI14" s="565">
        <v>106.80500000000001</v>
      </c>
      <c r="AJ14" s="565">
        <v>35.780999999999999</v>
      </c>
      <c r="AK14" s="565">
        <v>0.129</v>
      </c>
      <c r="AL14" s="565"/>
      <c r="AN14" s="565">
        <v>124.202</v>
      </c>
      <c r="AO14" s="565">
        <v>41083</v>
      </c>
      <c r="AP14" s="565">
        <v>0.104</v>
      </c>
      <c r="AQ14" s="565"/>
      <c r="AS14" s="565">
        <v>610.82000000000005</v>
      </c>
      <c r="AT14" s="565">
        <v>76.44</v>
      </c>
      <c r="AU14" s="565">
        <v>633.37</v>
      </c>
      <c r="AV14" s="565">
        <v>574.11</v>
      </c>
      <c r="AW14" s="565">
        <v>1142.54</v>
      </c>
    </row>
    <row r="15" spans="1:49" x14ac:dyDescent="0.25">
      <c r="A15" s="565" t="s">
        <v>728</v>
      </c>
      <c r="B15" s="565" t="s">
        <v>719</v>
      </c>
      <c r="C15" s="565" t="s">
        <v>689</v>
      </c>
      <c r="D15" s="565" t="s">
        <v>690</v>
      </c>
      <c r="E15" s="565" t="s">
        <v>691</v>
      </c>
      <c r="F15" s="565"/>
      <c r="G15" s="565"/>
      <c r="H15" s="565" t="s">
        <v>692</v>
      </c>
      <c r="I15" s="565" t="s">
        <v>693</v>
      </c>
      <c r="J15" s="565" t="s">
        <v>694</v>
      </c>
      <c r="K15" s="565" t="s">
        <v>38</v>
      </c>
      <c r="L15" s="565" t="s">
        <v>38</v>
      </c>
      <c r="M15" s="565" t="s">
        <v>695</v>
      </c>
      <c r="N15" s="565"/>
      <c r="O15" s="565">
        <v>141.239</v>
      </c>
      <c r="P15" s="565">
        <v>0</v>
      </c>
      <c r="Q15" s="565">
        <v>0.129</v>
      </c>
      <c r="R15" s="565">
        <v>141.239</v>
      </c>
      <c r="S15" s="565">
        <v>141.36799999999999</v>
      </c>
      <c r="T15" s="565">
        <v>142.58099999999999</v>
      </c>
      <c r="U15" s="565">
        <v>0</v>
      </c>
      <c r="V15" s="565">
        <v>0.129</v>
      </c>
      <c r="W15" s="565">
        <v>142.58099999999999</v>
      </c>
      <c r="X15" s="565">
        <v>142.71</v>
      </c>
      <c r="Y15" s="565">
        <v>106.801</v>
      </c>
      <c r="Z15" s="565">
        <v>35.78</v>
      </c>
      <c r="AA15" s="565">
        <v>0.129</v>
      </c>
      <c r="AB15" s="565"/>
      <c r="AD15" s="565">
        <v>124.19799999999999</v>
      </c>
      <c r="AE15" s="565">
        <v>41082</v>
      </c>
      <c r="AF15" s="565">
        <v>0.104</v>
      </c>
      <c r="AG15" s="565"/>
      <c r="AI15" s="565">
        <v>106.801</v>
      </c>
      <c r="AJ15" s="565">
        <v>35.78</v>
      </c>
      <c r="AK15" s="565">
        <v>0.129</v>
      </c>
      <c r="AL15" s="565"/>
      <c r="AN15" s="565">
        <v>124.19799999999999</v>
      </c>
      <c r="AO15" s="565">
        <v>41082</v>
      </c>
      <c r="AP15" s="565">
        <v>0.104</v>
      </c>
      <c r="AQ15" s="565"/>
      <c r="AS15" s="565">
        <v>610.78</v>
      </c>
      <c r="AT15" s="565">
        <v>76.489999999999995</v>
      </c>
      <c r="AU15" s="565">
        <v>633.33000000000004</v>
      </c>
      <c r="AV15" s="565">
        <v>574.07000000000005</v>
      </c>
      <c r="AW15" s="565">
        <v>1142.54</v>
      </c>
    </row>
    <row r="16" spans="1:49" x14ac:dyDescent="0.25">
      <c r="A16" s="565" t="s">
        <v>728</v>
      </c>
      <c r="B16" s="565" t="s">
        <v>688</v>
      </c>
      <c r="C16" s="565" t="s">
        <v>689</v>
      </c>
      <c r="D16" s="565" t="s">
        <v>690</v>
      </c>
      <c r="E16" s="565" t="s">
        <v>691</v>
      </c>
      <c r="F16" s="565"/>
      <c r="G16" s="565"/>
      <c r="H16" s="565" t="s">
        <v>692</v>
      </c>
      <c r="I16" s="565" t="s">
        <v>693</v>
      </c>
      <c r="J16" s="565" t="s">
        <v>694</v>
      </c>
      <c r="K16" s="565" t="s">
        <v>38</v>
      </c>
      <c r="L16" s="565" t="s">
        <v>38</v>
      </c>
      <c r="M16" s="565" t="s">
        <v>695</v>
      </c>
      <c r="N16" s="565"/>
      <c r="O16" s="565">
        <v>141.25800000000001</v>
      </c>
      <c r="P16" s="565">
        <v>0</v>
      </c>
      <c r="Q16" s="565">
        <v>0.129</v>
      </c>
      <c r="R16" s="565">
        <v>141.25800000000001</v>
      </c>
      <c r="S16" s="565">
        <v>141.387</v>
      </c>
      <c r="T16" s="565">
        <v>142.6</v>
      </c>
      <c r="U16" s="565">
        <v>0</v>
      </c>
      <c r="V16" s="565">
        <v>0.129</v>
      </c>
      <c r="W16" s="565">
        <v>142.6</v>
      </c>
      <c r="X16" s="565">
        <v>142.72900000000001</v>
      </c>
      <c r="Y16" s="565">
        <v>106.816</v>
      </c>
      <c r="Z16" s="565">
        <v>35.784999999999997</v>
      </c>
      <c r="AA16" s="565">
        <v>0.129</v>
      </c>
      <c r="AB16" s="565"/>
      <c r="AD16" s="565">
        <v>124.214</v>
      </c>
      <c r="AE16" s="565">
        <v>41087</v>
      </c>
      <c r="AF16" s="565">
        <v>0.104</v>
      </c>
      <c r="AG16" s="565"/>
      <c r="AI16" s="565">
        <v>106.816</v>
      </c>
      <c r="AJ16" s="565">
        <v>35.784999999999997</v>
      </c>
      <c r="AK16" s="565">
        <v>0.129</v>
      </c>
      <c r="AL16" s="565"/>
      <c r="AN16" s="565">
        <v>124.214</v>
      </c>
      <c r="AO16" s="565">
        <v>41087</v>
      </c>
      <c r="AP16" s="565">
        <v>0.104</v>
      </c>
      <c r="AQ16" s="565"/>
      <c r="AS16" s="565">
        <v>610.75</v>
      </c>
      <c r="AT16" s="565">
        <v>76.510000000000005</v>
      </c>
      <c r="AU16" s="565">
        <v>633.30999999999995</v>
      </c>
      <c r="AV16" s="565">
        <v>574.04999999999995</v>
      </c>
      <c r="AW16" s="565">
        <v>1142.54</v>
      </c>
    </row>
    <row r="17" spans="1:49" x14ac:dyDescent="0.25">
      <c r="A17" s="565" t="s">
        <v>728</v>
      </c>
      <c r="B17" s="565" t="s">
        <v>696</v>
      </c>
      <c r="C17" s="565" t="s">
        <v>689</v>
      </c>
      <c r="D17" s="565" t="s">
        <v>690</v>
      </c>
      <c r="E17" s="565" t="s">
        <v>691</v>
      </c>
      <c r="F17" s="565"/>
      <c r="G17" s="565"/>
      <c r="H17" s="565" t="s">
        <v>692</v>
      </c>
      <c r="I17" s="565" t="s">
        <v>693</v>
      </c>
      <c r="J17" s="565" t="s">
        <v>694</v>
      </c>
      <c r="K17" s="565" t="s">
        <v>38</v>
      </c>
      <c r="L17" s="565" t="s">
        <v>38</v>
      </c>
      <c r="M17" s="565" t="s">
        <v>695</v>
      </c>
      <c r="N17" s="565"/>
      <c r="O17" s="565">
        <v>141.208</v>
      </c>
      <c r="P17" s="565">
        <v>0</v>
      </c>
      <c r="Q17" s="565">
        <v>0.129</v>
      </c>
      <c r="R17" s="565">
        <v>141.208</v>
      </c>
      <c r="S17" s="565">
        <v>141.33699999999999</v>
      </c>
      <c r="T17" s="565">
        <v>142.55000000000001</v>
      </c>
      <c r="U17" s="565">
        <v>0</v>
      </c>
      <c r="V17" s="565">
        <v>0.129</v>
      </c>
      <c r="W17" s="565">
        <v>142.55000000000001</v>
      </c>
      <c r="X17" s="565">
        <v>142.679</v>
      </c>
      <c r="Y17" s="565">
        <v>106.77800000000001</v>
      </c>
      <c r="Z17" s="565">
        <v>35.771999999999998</v>
      </c>
      <c r="AA17" s="565">
        <v>0.129</v>
      </c>
      <c r="AB17" s="565"/>
      <c r="AD17" s="565">
        <v>124.17100000000001</v>
      </c>
      <c r="AE17" s="565">
        <v>41073</v>
      </c>
      <c r="AF17" s="565">
        <v>0.104</v>
      </c>
      <c r="AG17" s="565"/>
      <c r="AI17" s="565">
        <v>106.77800000000001</v>
      </c>
      <c r="AJ17" s="565">
        <v>35.771999999999998</v>
      </c>
      <c r="AK17" s="565">
        <v>0.129</v>
      </c>
      <c r="AL17" s="565"/>
      <c r="AN17" s="565">
        <v>124.17100000000001</v>
      </c>
      <c r="AO17" s="565">
        <v>41073</v>
      </c>
      <c r="AP17" s="565">
        <v>0.104</v>
      </c>
      <c r="AQ17" s="565"/>
      <c r="AS17" s="565">
        <v>610.71</v>
      </c>
      <c r="AT17" s="565">
        <v>76.56</v>
      </c>
      <c r="AU17" s="565">
        <v>633.28</v>
      </c>
      <c r="AV17" s="565">
        <v>574.02</v>
      </c>
      <c r="AW17" s="565">
        <v>1142.54</v>
      </c>
    </row>
    <row r="18" spans="1:49" x14ac:dyDescent="0.25">
      <c r="A18" s="565" t="s">
        <v>729</v>
      </c>
      <c r="B18" s="565" t="s">
        <v>698</v>
      </c>
      <c r="C18" s="565" t="s">
        <v>689</v>
      </c>
      <c r="D18" s="565" t="s">
        <v>690</v>
      </c>
      <c r="E18" s="565" t="s">
        <v>691</v>
      </c>
      <c r="F18" s="565"/>
      <c r="G18" s="565"/>
      <c r="H18" s="565" t="s">
        <v>692</v>
      </c>
      <c r="I18" s="565" t="s">
        <v>693</v>
      </c>
      <c r="J18" s="565" t="s">
        <v>694</v>
      </c>
      <c r="K18" s="565" t="s">
        <v>38</v>
      </c>
      <c r="L18" s="565" t="s">
        <v>38</v>
      </c>
      <c r="M18" s="565" t="s">
        <v>695</v>
      </c>
      <c r="N18" s="565"/>
      <c r="O18" s="565">
        <v>141.19399999999999</v>
      </c>
      <c r="P18" s="565">
        <v>0</v>
      </c>
      <c r="Q18" s="565">
        <v>0.129</v>
      </c>
      <c r="R18" s="565">
        <v>141.19399999999999</v>
      </c>
      <c r="S18" s="565">
        <v>141.32300000000001</v>
      </c>
      <c r="T18" s="565">
        <v>142.535</v>
      </c>
      <c r="U18" s="565">
        <v>0</v>
      </c>
      <c r="V18" s="565">
        <v>0.129</v>
      </c>
      <c r="W18" s="565">
        <v>142.535</v>
      </c>
      <c r="X18" s="565">
        <v>142.66399999999999</v>
      </c>
      <c r="Y18" s="565">
        <v>106.767</v>
      </c>
      <c r="Z18" s="565">
        <v>35.768000000000001</v>
      </c>
      <c r="AA18" s="565">
        <v>0.129</v>
      </c>
      <c r="AB18" s="565"/>
      <c r="AD18" s="565">
        <v>124.158</v>
      </c>
      <c r="AE18" s="565">
        <v>41068</v>
      </c>
      <c r="AF18" s="565">
        <v>0.104</v>
      </c>
      <c r="AG18" s="565"/>
      <c r="AI18" s="565">
        <v>106.767</v>
      </c>
      <c r="AJ18" s="565">
        <v>35.768000000000001</v>
      </c>
      <c r="AK18" s="565">
        <v>0.129</v>
      </c>
      <c r="AL18" s="565"/>
      <c r="AN18" s="565">
        <v>124.158</v>
      </c>
      <c r="AO18" s="565">
        <v>41068</v>
      </c>
      <c r="AP18" s="565">
        <v>0.104</v>
      </c>
      <c r="AQ18" s="565"/>
      <c r="AS18" s="565">
        <v>610.67999999999995</v>
      </c>
      <c r="AT18" s="565">
        <v>76.59</v>
      </c>
      <c r="AU18" s="565">
        <v>633.25</v>
      </c>
      <c r="AV18" s="565">
        <v>573.99</v>
      </c>
      <c r="AW18" s="565">
        <v>1142.54</v>
      </c>
    </row>
    <row r="19" spans="1:49" x14ac:dyDescent="0.25">
      <c r="A19" s="565" t="s">
        <v>729</v>
      </c>
      <c r="B19" s="565" t="s">
        <v>699</v>
      </c>
      <c r="C19" s="565" t="s">
        <v>689</v>
      </c>
      <c r="D19" s="565" t="s">
        <v>690</v>
      </c>
      <c r="E19" s="565" t="s">
        <v>691</v>
      </c>
      <c r="F19" s="565"/>
      <c r="G19" s="565"/>
      <c r="H19" s="565" t="s">
        <v>692</v>
      </c>
      <c r="I19" s="565" t="s">
        <v>693</v>
      </c>
      <c r="J19" s="565" t="s">
        <v>694</v>
      </c>
      <c r="K19" s="565" t="s">
        <v>38</v>
      </c>
      <c r="L19" s="565" t="s">
        <v>38</v>
      </c>
      <c r="M19" s="565" t="s">
        <v>695</v>
      </c>
      <c r="N19" s="565"/>
      <c r="O19" s="565">
        <v>141.143</v>
      </c>
      <c r="P19" s="565">
        <v>0</v>
      </c>
      <c r="Q19" s="565">
        <v>0.129</v>
      </c>
      <c r="R19" s="565">
        <v>141.143</v>
      </c>
      <c r="S19" s="565">
        <v>141.27099999999999</v>
      </c>
      <c r="T19" s="565">
        <v>142.483</v>
      </c>
      <c r="U19" s="565">
        <v>0</v>
      </c>
      <c r="V19" s="565">
        <v>0.129</v>
      </c>
      <c r="W19" s="565">
        <v>142.483</v>
      </c>
      <c r="X19" s="565">
        <v>142.61199999999999</v>
      </c>
      <c r="Y19" s="565">
        <v>106.72799999999999</v>
      </c>
      <c r="Z19" s="565">
        <v>35.755000000000003</v>
      </c>
      <c r="AA19" s="565">
        <v>0.129</v>
      </c>
      <c r="AB19" s="565"/>
      <c r="AD19" s="565">
        <v>124.113</v>
      </c>
      <c r="AE19" s="565">
        <v>41053</v>
      </c>
      <c r="AF19" s="565">
        <v>0.10299999999999999</v>
      </c>
      <c r="AG19" s="565"/>
      <c r="AI19" s="565">
        <v>106.72799999999999</v>
      </c>
      <c r="AJ19" s="565">
        <v>35.755000000000003</v>
      </c>
      <c r="AK19" s="565">
        <v>0.129</v>
      </c>
      <c r="AL19" s="565"/>
      <c r="AN19" s="565">
        <v>124.113</v>
      </c>
      <c r="AO19" s="565">
        <v>41053</v>
      </c>
      <c r="AP19" s="565">
        <v>0.10299999999999999</v>
      </c>
      <c r="AQ19" s="565"/>
      <c r="AS19" s="565">
        <v>610.66</v>
      </c>
      <c r="AT19" s="565">
        <v>76.62</v>
      </c>
      <c r="AU19" s="565">
        <v>633.23</v>
      </c>
      <c r="AV19" s="565">
        <v>573.97</v>
      </c>
      <c r="AW19" s="565">
        <v>1142.54</v>
      </c>
    </row>
    <row r="20" spans="1:49" x14ac:dyDescent="0.25">
      <c r="A20" s="565" t="s">
        <v>729</v>
      </c>
      <c r="B20" s="565" t="s">
        <v>700</v>
      </c>
      <c r="C20" s="565" t="s">
        <v>689</v>
      </c>
      <c r="D20" s="565" t="s">
        <v>690</v>
      </c>
      <c r="E20" s="565" t="s">
        <v>691</v>
      </c>
      <c r="F20" s="565"/>
      <c r="G20" s="565"/>
      <c r="H20" s="565" t="s">
        <v>692</v>
      </c>
      <c r="I20" s="565" t="s">
        <v>693</v>
      </c>
      <c r="J20" s="565" t="s">
        <v>694</v>
      </c>
      <c r="K20" s="565" t="s">
        <v>38</v>
      </c>
      <c r="L20" s="565" t="s">
        <v>38</v>
      </c>
      <c r="M20" s="565" t="s">
        <v>695</v>
      </c>
      <c r="N20" s="565"/>
      <c r="O20" s="565">
        <v>141.17099999999999</v>
      </c>
      <c r="P20" s="565">
        <v>0</v>
      </c>
      <c r="Q20" s="565">
        <v>0.129</v>
      </c>
      <c r="R20" s="565">
        <v>141.17099999999999</v>
      </c>
      <c r="S20" s="565">
        <v>141.29900000000001</v>
      </c>
      <c r="T20" s="565">
        <v>142.512</v>
      </c>
      <c r="U20" s="565">
        <v>0</v>
      </c>
      <c r="V20" s="565">
        <v>0.129</v>
      </c>
      <c r="W20" s="565">
        <v>142.512</v>
      </c>
      <c r="X20" s="565">
        <v>142.64099999999999</v>
      </c>
      <c r="Y20" s="565">
        <v>106.749</v>
      </c>
      <c r="Z20" s="565">
        <v>35.762</v>
      </c>
      <c r="AA20" s="565">
        <v>0.129</v>
      </c>
      <c r="AB20" s="565"/>
      <c r="AD20" s="565">
        <v>124.137</v>
      </c>
      <c r="AE20" s="565">
        <v>41062</v>
      </c>
      <c r="AF20" s="565">
        <v>0.104</v>
      </c>
      <c r="AG20" s="565"/>
      <c r="AI20" s="565">
        <v>106.749</v>
      </c>
      <c r="AJ20" s="565">
        <v>35.762</v>
      </c>
      <c r="AK20" s="565">
        <v>0.129</v>
      </c>
      <c r="AL20" s="565"/>
      <c r="AN20" s="565">
        <v>124.137</v>
      </c>
      <c r="AO20" s="565">
        <v>41062</v>
      </c>
      <c r="AP20" s="565">
        <v>0.104</v>
      </c>
      <c r="AQ20" s="565"/>
      <c r="AS20" s="565">
        <v>610.63</v>
      </c>
      <c r="AT20" s="565">
        <v>76.650000000000006</v>
      </c>
      <c r="AU20" s="565">
        <v>633.21</v>
      </c>
      <c r="AV20" s="565">
        <v>573.94000000000005</v>
      </c>
      <c r="AW20" s="565">
        <v>1142.54</v>
      </c>
    </row>
    <row r="21" spans="1:49" x14ac:dyDescent="0.25">
      <c r="A21" s="565" t="s">
        <v>729</v>
      </c>
      <c r="B21" s="565" t="s">
        <v>701</v>
      </c>
      <c r="C21" s="565" t="s">
        <v>689</v>
      </c>
      <c r="D21" s="565" t="s">
        <v>690</v>
      </c>
      <c r="E21" s="565" t="s">
        <v>691</v>
      </c>
      <c r="F21" s="565"/>
      <c r="G21" s="565"/>
      <c r="H21" s="565" t="s">
        <v>692</v>
      </c>
      <c r="I21" s="565" t="s">
        <v>693</v>
      </c>
      <c r="J21" s="565" t="s">
        <v>694</v>
      </c>
      <c r="K21" s="565" t="s">
        <v>38</v>
      </c>
      <c r="L21" s="565" t="s">
        <v>38</v>
      </c>
      <c r="M21" s="565" t="s">
        <v>695</v>
      </c>
      <c r="N21" s="565"/>
      <c r="O21" s="565">
        <v>141.17500000000001</v>
      </c>
      <c r="P21" s="565">
        <v>0</v>
      </c>
      <c r="Q21" s="565">
        <v>0.129</v>
      </c>
      <c r="R21" s="565">
        <v>141.17500000000001</v>
      </c>
      <c r="S21" s="565">
        <v>141.303</v>
      </c>
      <c r="T21" s="565">
        <v>142.51599999999999</v>
      </c>
      <c r="U21" s="565">
        <v>0</v>
      </c>
      <c r="V21" s="565">
        <v>0.129</v>
      </c>
      <c r="W21" s="565">
        <v>142.51599999999999</v>
      </c>
      <c r="X21" s="565">
        <v>142.64500000000001</v>
      </c>
      <c r="Y21" s="565">
        <v>106.752</v>
      </c>
      <c r="Z21" s="565">
        <v>35.762999999999998</v>
      </c>
      <c r="AA21" s="565">
        <v>0.129</v>
      </c>
      <c r="AB21" s="565"/>
      <c r="AD21" s="565">
        <v>124.14100000000001</v>
      </c>
      <c r="AE21" s="565">
        <v>41063</v>
      </c>
      <c r="AF21" s="565">
        <v>0.104</v>
      </c>
      <c r="AG21" s="565"/>
      <c r="AI21" s="565">
        <v>106.752</v>
      </c>
      <c r="AJ21" s="565">
        <v>35.762999999999998</v>
      </c>
      <c r="AK21" s="565">
        <v>0.129</v>
      </c>
      <c r="AL21" s="565"/>
      <c r="AN21" s="565">
        <v>124.14100000000001</v>
      </c>
      <c r="AO21" s="565">
        <v>41063</v>
      </c>
      <c r="AP21" s="565">
        <v>0.104</v>
      </c>
      <c r="AQ21" s="565"/>
      <c r="AS21" s="565">
        <v>610.6</v>
      </c>
      <c r="AT21" s="565">
        <v>76.680000000000007</v>
      </c>
      <c r="AU21" s="565">
        <v>633.19000000000005</v>
      </c>
      <c r="AV21" s="565">
        <v>573.91999999999996</v>
      </c>
      <c r="AW21" s="565">
        <v>1142.54</v>
      </c>
    </row>
    <row r="22" spans="1:49" x14ac:dyDescent="0.25">
      <c r="A22" s="565" t="s">
        <v>729</v>
      </c>
      <c r="B22" s="565" t="s">
        <v>702</v>
      </c>
      <c r="C22" s="565" t="s">
        <v>689</v>
      </c>
      <c r="D22" s="565" t="s">
        <v>690</v>
      </c>
      <c r="E22" s="565" t="s">
        <v>691</v>
      </c>
      <c r="F22" s="565"/>
      <c r="G22" s="565"/>
      <c r="H22" s="565" t="s">
        <v>692</v>
      </c>
      <c r="I22" s="565" t="s">
        <v>693</v>
      </c>
      <c r="J22" s="565" t="s">
        <v>694</v>
      </c>
      <c r="K22" s="565" t="s">
        <v>38</v>
      </c>
      <c r="L22" s="565" t="s">
        <v>38</v>
      </c>
      <c r="M22" s="565" t="s">
        <v>695</v>
      </c>
      <c r="N22" s="565"/>
      <c r="O22" s="565">
        <v>141.13900000000001</v>
      </c>
      <c r="P22" s="565">
        <v>0</v>
      </c>
      <c r="Q22" s="565">
        <v>0.129</v>
      </c>
      <c r="R22" s="565">
        <v>141.13900000000001</v>
      </c>
      <c r="S22" s="565">
        <v>141.268</v>
      </c>
      <c r="T22" s="565">
        <v>142.47999999999999</v>
      </c>
      <c r="U22" s="565">
        <v>0</v>
      </c>
      <c r="V22" s="565">
        <v>0.129</v>
      </c>
      <c r="W22" s="565">
        <v>142.47999999999999</v>
      </c>
      <c r="X22" s="565">
        <v>142.608</v>
      </c>
      <c r="Y22" s="565">
        <v>106.72499999999999</v>
      </c>
      <c r="Z22" s="565">
        <v>35.753999999999998</v>
      </c>
      <c r="AA22" s="565">
        <v>0.129</v>
      </c>
      <c r="AB22" s="565"/>
      <c r="AD22" s="565">
        <v>124.10899999999999</v>
      </c>
      <c r="AE22" s="565">
        <v>41052</v>
      </c>
      <c r="AF22" s="565">
        <v>0.10299999999999999</v>
      </c>
      <c r="AG22" s="565"/>
      <c r="AI22" s="565">
        <v>106.72499999999999</v>
      </c>
      <c r="AJ22" s="565">
        <v>35.753999999999998</v>
      </c>
      <c r="AK22" s="565">
        <v>0.129</v>
      </c>
      <c r="AL22" s="565"/>
      <c r="AN22" s="565">
        <v>124.10899999999999</v>
      </c>
      <c r="AO22" s="565">
        <v>41052</v>
      </c>
      <c r="AP22" s="565">
        <v>0.10299999999999999</v>
      </c>
      <c r="AQ22" s="565"/>
      <c r="AS22" s="565">
        <v>610.57000000000005</v>
      </c>
      <c r="AT22" s="565">
        <v>76.709999999999994</v>
      </c>
      <c r="AU22" s="565">
        <v>633.16</v>
      </c>
      <c r="AV22" s="565">
        <v>573.89</v>
      </c>
      <c r="AW22" s="565">
        <v>1142.54</v>
      </c>
    </row>
    <row r="23" spans="1:49" x14ac:dyDescent="0.25">
      <c r="A23" s="565" t="s">
        <v>729</v>
      </c>
      <c r="B23" s="565" t="s">
        <v>703</v>
      </c>
      <c r="C23" s="565" t="s">
        <v>689</v>
      </c>
      <c r="D23" s="565" t="s">
        <v>690</v>
      </c>
      <c r="E23" s="565" t="s">
        <v>691</v>
      </c>
      <c r="F23" s="565"/>
      <c r="G23" s="565"/>
      <c r="H23" s="565" t="s">
        <v>692</v>
      </c>
      <c r="I23" s="565" t="s">
        <v>693</v>
      </c>
      <c r="J23" s="565" t="s">
        <v>694</v>
      </c>
      <c r="K23" s="565" t="s">
        <v>38</v>
      </c>
      <c r="L23" s="565" t="s">
        <v>38</v>
      </c>
      <c r="M23" s="565" t="s">
        <v>695</v>
      </c>
      <c r="N23" s="565"/>
      <c r="O23" s="565">
        <v>141.10400000000001</v>
      </c>
      <c r="P23" s="565">
        <v>0</v>
      </c>
      <c r="Q23" s="565">
        <v>0.129</v>
      </c>
      <c r="R23" s="565">
        <v>141.10400000000001</v>
      </c>
      <c r="S23" s="565">
        <v>141.233</v>
      </c>
      <c r="T23" s="565">
        <v>142.44399999999999</v>
      </c>
      <c r="U23" s="565">
        <v>0</v>
      </c>
      <c r="V23" s="565">
        <v>0.129</v>
      </c>
      <c r="W23" s="565">
        <v>142.44399999999999</v>
      </c>
      <c r="X23" s="565">
        <v>142.57300000000001</v>
      </c>
      <c r="Y23" s="565">
        <v>106.699</v>
      </c>
      <c r="Z23" s="565">
        <v>35.746000000000002</v>
      </c>
      <c r="AA23" s="565">
        <v>0.129</v>
      </c>
      <c r="AB23" s="565"/>
      <c r="AD23" s="565">
        <v>124.07899999999999</v>
      </c>
      <c r="AE23" s="565">
        <v>41042</v>
      </c>
      <c r="AF23" s="565">
        <v>0.10299999999999999</v>
      </c>
      <c r="AG23" s="565"/>
      <c r="AI23" s="565">
        <v>106.699</v>
      </c>
      <c r="AJ23" s="565">
        <v>35.746000000000002</v>
      </c>
      <c r="AK23" s="565">
        <v>0.129</v>
      </c>
      <c r="AL23" s="565"/>
      <c r="AN23" s="565">
        <v>124.07899999999999</v>
      </c>
      <c r="AO23" s="565">
        <v>41042</v>
      </c>
      <c r="AP23" s="565">
        <v>0.10299999999999999</v>
      </c>
      <c r="AQ23" s="565"/>
      <c r="AS23" s="565">
        <v>610.53</v>
      </c>
      <c r="AT23" s="565">
        <v>76.75</v>
      </c>
      <c r="AU23" s="565">
        <v>633.13</v>
      </c>
      <c r="AV23" s="565">
        <v>573.87</v>
      </c>
      <c r="AW23" s="565">
        <v>1142.54</v>
      </c>
    </row>
    <row r="24" spans="1:49" x14ac:dyDescent="0.25">
      <c r="A24" s="565" t="s">
        <v>729</v>
      </c>
      <c r="B24" s="565" t="s">
        <v>704</v>
      </c>
      <c r="C24" s="565" t="s">
        <v>689</v>
      </c>
      <c r="D24" s="565" t="s">
        <v>690</v>
      </c>
      <c r="E24" s="565" t="s">
        <v>691</v>
      </c>
      <c r="F24" s="565"/>
      <c r="G24" s="565"/>
      <c r="H24" s="565" t="s">
        <v>692</v>
      </c>
      <c r="I24" s="565" t="s">
        <v>693</v>
      </c>
      <c r="J24" s="565" t="s">
        <v>694</v>
      </c>
      <c r="K24" s="565" t="s">
        <v>38</v>
      </c>
      <c r="L24" s="565" t="s">
        <v>38</v>
      </c>
      <c r="M24" s="565" t="s">
        <v>695</v>
      </c>
      <c r="N24" s="565"/>
      <c r="O24" s="565">
        <v>141.08600000000001</v>
      </c>
      <c r="P24" s="565">
        <v>0</v>
      </c>
      <c r="Q24" s="565">
        <v>0.129</v>
      </c>
      <c r="R24" s="565">
        <v>141.08600000000001</v>
      </c>
      <c r="S24" s="565">
        <v>141.215</v>
      </c>
      <c r="T24" s="565">
        <v>142.42599999999999</v>
      </c>
      <c r="U24" s="565">
        <v>0</v>
      </c>
      <c r="V24" s="565">
        <v>0.129</v>
      </c>
      <c r="W24" s="565">
        <v>142.42599999999999</v>
      </c>
      <c r="X24" s="565">
        <v>142.55500000000001</v>
      </c>
      <c r="Y24" s="565">
        <v>106.68600000000001</v>
      </c>
      <c r="Z24" s="565">
        <v>35.741</v>
      </c>
      <c r="AA24" s="565">
        <v>0.129</v>
      </c>
      <c r="AB24" s="565"/>
      <c r="AD24" s="565">
        <v>124.063</v>
      </c>
      <c r="AE24" s="565">
        <v>41037</v>
      </c>
      <c r="AF24" s="565">
        <v>0.10299999999999999</v>
      </c>
      <c r="AG24" s="565"/>
      <c r="AI24" s="565">
        <v>106.68600000000001</v>
      </c>
      <c r="AJ24" s="565">
        <v>35.741</v>
      </c>
      <c r="AK24" s="565">
        <v>0.129</v>
      </c>
      <c r="AL24" s="565"/>
      <c r="AN24" s="565">
        <v>124.063</v>
      </c>
      <c r="AO24" s="565">
        <v>41037</v>
      </c>
      <c r="AP24" s="565">
        <v>0.10299999999999999</v>
      </c>
      <c r="AQ24" s="565"/>
      <c r="AS24" s="565">
        <v>610.5</v>
      </c>
      <c r="AT24" s="565">
        <v>76.760000000000005</v>
      </c>
      <c r="AU24" s="565">
        <v>633.12</v>
      </c>
      <c r="AV24" s="565">
        <v>573.85</v>
      </c>
      <c r="AW24" s="565">
        <v>1142.54</v>
      </c>
    </row>
    <row r="25" spans="1:49" x14ac:dyDescent="0.25">
      <c r="A25" s="565" t="s">
        <v>729</v>
      </c>
      <c r="B25" s="565" t="s">
        <v>705</v>
      </c>
      <c r="C25" s="565" t="s">
        <v>689</v>
      </c>
      <c r="D25" s="565" t="s">
        <v>690</v>
      </c>
      <c r="E25" s="565" t="s">
        <v>691</v>
      </c>
      <c r="F25" s="565"/>
      <c r="G25" s="565"/>
      <c r="H25" s="565" t="s">
        <v>692</v>
      </c>
      <c r="I25" s="565" t="s">
        <v>693</v>
      </c>
      <c r="J25" s="565" t="s">
        <v>694</v>
      </c>
      <c r="K25" s="565" t="s">
        <v>38</v>
      </c>
      <c r="L25" s="565" t="s">
        <v>38</v>
      </c>
      <c r="M25" s="565" t="s">
        <v>695</v>
      </c>
      <c r="N25" s="565"/>
      <c r="O25" s="565">
        <v>141.13200000000001</v>
      </c>
      <c r="P25" s="565">
        <v>0</v>
      </c>
      <c r="Q25" s="565">
        <v>0.129</v>
      </c>
      <c r="R25" s="565">
        <v>141.13200000000001</v>
      </c>
      <c r="S25" s="565">
        <v>141.26</v>
      </c>
      <c r="T25" s="565">
        <v>142.47200000000001</v>
      </c>
      <c r="U25" s="565">
        <v>0</v>
      </c>
      <c r="V25" s="565">
        <v>0.129</v>
      </c>
      <c r="W25" s="565">
        <v>142.47200000000001</v>
      </c>
      <c r="X25" s="565">
        <v>142.601</v>
      </c>
      <c r="Y25" s="565">
        <v>106.72</v>
      </c>
      <c r="Z25" s="565">
        <v>35.753</v>
      </c>
      <c r="AA25" s="565">
        <v>0.129</v>
      </c>
      <c r="AB25" s="565"/>
      <c r="AD25" s="565">
        <v>124.10299999999999</v>
      </c>
      <c r="AE25" s="565">
        <v>41050</v>
      </c>
      <c r="AF25" s="565">
        <v>0.10299999999999999</v>
      </c>
      <c r="AG25" s="565"/>
      <c r="AI25" s="565">
        <v>106.72</v>
      </c>
      <c r="AJ25" s="565">
        <v>35.753</v>
      </c>
      <c r="AK25" s="565">
        <v>0.129</v>
      </c>
      <c r="AL25" s="565"/>
      <c r="AN25" s="565">
        <v>124.10299999999999</v>
      </c>
      <c r="AO25" s="565">
        <v>41050</v>
      </c>
      <c r="AP25" s="565">
        <v>0.10299999999999999</v>
      </c>
      <c r="AQ25" s="565"/>
      <c r="AS25" s="565">
        <v>610.46</v>
      </c>
      <c r="AT25" s="565">
        <v>76.790000000000006</v>
      </c>
      <c r="AU25" s="565">
        <v>633.1</v>
      </c>
      <c r="AV25" s="565">
        <v>573.83000000000004</v>
      </c>
      <c r="AW25" s="565">
        <v>1142.54</v>
      </c>
    </row>
    <row r="26" spans="1:49" x14ac:dyDescent="0.25">
      <c r="A26" s="565" t="s">
        <v>729</v>
      </c>
      <c r="B26" s="565" t="s">
        <v>706</v>
      </c>
      <c r="C26" s="565" t="s">
        <v>689</v>
      </c>
      <c r="D26" s="565" t="s">
        <v>690</v>
      </c>
      <c r="E26" s="565" t="s">
        <v>691</v>
      </c>
      <c r="F26" s="565"/>
      <c r="G26" s="565"/>
      <c r="H26" s="565" t="s">
        <v>692</v>
      </c>
      <c r="I26" s="565" t="s">
        <v>693</v>
      </c>
      <c r="J26" s="565" t="s">
        <v>694</v>
      </c>
      <c r="K26" s="565" t="s">
        <v>38</v>
      </c>
      <c r="L26" s="565" t="s">
        <v>38</v>
      </c>
      <c r="M26" s="565" t="s">
        <v>695</v>
      </c>
      <c r="N26" s="565"/>
      <c r="O26" s="565">
        <v>141.096</v>
      </c>
      <c r="P26" s="565">
        <v>0</v>
      </c>
      <c r="Q26" s="565">
        <v>0.129</v>
      </c>
      <c r="R26" s="565">
        <v>141.096</v>
      </c>
      <c r="S26" s="565">
        <v>141.22499999999999</v>
      </c>
      <c r="T26" s="565">
        <v>142.43700000000001</v>
      </c>
      <c r="U26" s="565">
        <v>0</v>
      </c>
      <c r="V26" s="565">
        <v>0.129</v>
      </c>
      <c r="W26" s="565">
        <v>142.43700000000001</v>
      </c>
      <c r="X26" s="565">
        <v>142.565</v>
      </c>
      <c r="Y26" s="565">
        <v>106.693</v>
      </c>
      <c r="Z26" s="565">
        <v>35.744</v>
      </c>
      <c r="AA26" s="565">
        <v>0.129</v>
      </c>
      <c r="AB26" s="565"/>
      <c r="AD26" s="565">
        <v>124.072</v>
      </c>
      <c r="AE26" s="565">
        <v>41040</v>
      </c>
      <c r="AF26" s="565">
        <v>0.10299999999999999</v>
      </c>
      <c r="AG26" s="565"/>
      <c r="AI26" s="565">
        <v>106.693</v>
      </c>
      <c r="AJ26" s="565">
        <v>35.744</v>
      </c>
      <c r="AK26" s="565">
        <v>0.129</v>
      </c>
      <c r="AL26" s="565"/>
      <c r="AN26" s="565">
        <v>124.072</v>
      </c>
      <c r="AO26" s="565">
        <v>41040</v>
      </c>
      <c r="AP26" s="565">
        <v>0.10299999999999999</v>
      </c>
      <c r="AQ26" s="565"/>
      <c r="AS26" s="565">
        <v>610.42999999999995</v>
      </c>
      <c r="AT26" s="565">
        <v>76.790000000000006</v>
      </c>
      <c r="AU26" s="565">
        <v>633.09</v>
      </c>
      <c r="AV26" s="565">
        <v>573.83000000000004</v>
      </c>
      <c r="AW26" s="565">
        <v>1142.54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4B68E-AD6B-47FC-B847-100FBFB7EBD1}">
  <sheetPr codeName="Sheet13">
    <tabColor theme="1" tint="0.249977111117893"/>
  </sheetPr>
  <dimension ref="A1:O34"/>
  <sheetViews>
    <sheetView showGridLines="0" workbookViewId="0">
      <selection activeCell="J1" sqref="J1"/>
    </sheetView>
  </sheetViews>
  <sheetFormatPr defaultRowHeight="15" x14ac:dyDescent="0.25"/>
  <cols>
    <col min="1" max="15" width="10.7109375" customWidth="1"/>
  </cols>
  <sheetData>
    <row r="1" spans="1:15" ht="47.25" x14ac:dyDescent="0.25">
      <c r="A1" s="891" t="s">
        <v>618</v>
      </c>
      <c r="B1" s="891" t="s">
        <v>619</v>
      </c>
      <c r="C1" s="619" t="s">
        <v>620</v>
      </c>
      <c r="D1" s="619" t="s">
        <v>621</v>
      </c>
      <c r="E1" s="619" t="s">
        <v>622</v>
      </c>
      <c r="F1" s="619" t="s">
        <v>623</v>
      </c>
      <c r="G1" s="619" t="s">
        <v>624</v>
      </c>
      <c r="H1" s="619" t="s">
        <v>625</v>
      </c>
      <c r="I1" s="619" t="s">
        <v>626</v>
      </c>
      <c r="J1" s="619" t="s">
        <v>627</v>
      </c>
      <c r="K1" s="619" t="s">
        <v>628</v>
      </c>
      <c r="L1" s="619" t="s">
        <v>629</v>
      </c>
      <c r="M1" s="619" t="s">
        <v>398</v>
      </c>
      <c r="N1" s="620" t="s">
        <v>630</v>
      </c>
      <c r="O1" s="621" t="s">
        <v>631</v>
      </c>
    </row>
    <row r="2" spans="1:15" x14ac:dyDescent="0.25">
      <c r="A2" s="892"/>
      <c r="B2" s="892"/>
      <c r="C2" s="616">
        <f>AVERAGE(C3:C26)</f>
        <v>8803.811125000002</v>
      </c>
      <c r="D2" s="616">
        <f t="shared" ref="D2:G2" si="0">AVERAGE(D3:D26)</f>
        <v>88.03811125</v>
      </c>
      <c r="E2" s="616">
        <f t="shared" si="0"/>
        <v>45.271250000000002</v>
      </c>
      <c r="F2" s="616">
        <f t="shared" si="0"/>
        <v>863.09999999999991</v>
      </c>
      <c r="G2" s="616">
        <f t="shared" si="0"/>
        <v>851.19583333333333</v>
      </c>
      <c r="H2" s="616">
        <f>SUM(H3:H26)</f>
        <v>3338.6890000000003</v>
      </c>
      <c r="I2" s="616">
        <f t="shared" ref="I2:L2" si="1">SUM(I3:I26)</f>
        <v>3340.9999999999995</v>
      </c>
      <c r="J2" s="616">
        <f t="shared" si="1"/>
        <v>3291.43</v>
      </c>
      <c r="K2" s="616">
        <f t="shared" si="1"/>
        <v>2840.8329999999996</v>
      </c>
      <c r="L2" s="616">
        <f t="shared" si="1"/>
        <v>3291.43</v>
      </c>
      <c r="M2" s="616">
        <v>0</v>
      </c>
      <c r="N2" s="616">
        <f>AVERAGE(N3:N26)</f>
        <v>1.0072779374999996</v>
      </c>
      <c r="O2" s="616">
        <f>AVERAGE(O3:O26)</f>
        <v>0.97907368875000023</v>
      </c>
    </row>
    <row r="3" spans="1:15" x14ac:dyDescent="0.25">
      <c r="A3" s="724">
        <v>46109</v>
      </c>
      <c r="B3" s="617">
        <v>22</v>
      </c>
      <c r="C3" s="617">
        <v>8851.1530000000002</v>
      </c>
      <c r="D3" s="617">
        <v>88.511530000000008</v>
      </c>
      <c r="E3" s="617">
        <v>54.79</v>
      </c>
      <c r="F3" s="617">
        <v>863.1</v>
      </c>
      <c r="G3" s="617">
        <v>844.7</v>
      </c>
      <c r="H3" s="617">
        <v>99.340999999999994</v>
      </c>
      <c r="I3" s="617">
        <v>99.47</v>
      </c>
      <c r="J3" s="617">
        <v>97.346999999999994</v>
      </c>
      <c r="K3" s="617">
        <v>84.02</v>
      </c>
      <c r="L3" s="617">
        <v>97.346999999999994</v>
      </c>
      <c r="M3" s="617">
        <v>0</v>
      </c>
      <c r="N3" s="617">
        <v>1.00773595</v>
      </c>
      <c r="O3" s="617">
        <v>0.97114043999999999</v>
      </c>
    </row>
    <row r="4" spans="1:15" x14ac:dyDescent="0.25">
      <c r="A4" s="724">
        <v>46109</v>
      </c>
      <c r="B4" s="617">
        <v>23</v>
      </c>
      <c r="C4" s="617">
        <v>8858.4429999999993</v>
      </c>
      <c r="D4" s="617">
        <v>88.584429999999998</v>
      </c>
      <c r="E4" s="617">
        <v>52.65</v>
      </c>
      <c r="F4" s="617">
        <v>863.1</v>
      </c>
      <c r="G4" s="617">
        <v>846.2</v>
      </c>
      <c r="H4" s="617">
        <v>107.051</v>
      </c>
      <c r="I4" s="617">
        <v>107.194</v>
      </c>
      <c r="J4" s="617">
        <v>105.09</v>
      </c>
      <c r="K4" s="617">
        <v>90.703000000000003</v>
      </c>
      <c r="L4" s="617">
        <v>105.09</v>
      </c>
      <c r="M4" s="617">
        <v>0</v>
      </c>
      <c r="N4" s="617">
        <v>1.00764557</v>
      </c>
      <c r="O4" s="617">
        <v>0.97292933999999998</v>
      </c>
    </row>
    <row r="5" spans="1:15" x14ac:dyDescent="0.25">
      <c r="A5" s="724">
        <v>46109</v>
      </c>
      <c r="B5" s="618">
        <v>24</v>
      </c>
      <c r="C5" s="618">
        <v>8854.8799999999992</v>
      </c>
      <c r="D5" s="618">
        <v>88.548799999999986</v>
      </c>
      <c r="E5" s="618">
        <v>51.4</v>
      </c>
      <c r="F5" s="618">
        <v>863.1</v>
      </c>
      <c r="G5" s="618">
        <v>847</v>
      </c>
      <c r="H5" s="618">
        <v>108.806</v>
      </c>
      <c r="I5" s="618">
        <v>108.95399999999999</v>
      </c>
      <c r="J5" s="618">
        <v>106.922</v>
      </c>
      <c r="K5" s="618">
        <v>92.284999999999997</v>
      </c>
      <c r="L5" s="618">
        <v>106.922</v>
      </c>
      <c r="M5" s="618">
        <v>0</v>
      </c>
      <c r="N5" s="618">
        <v>1.0075869799999999</v>
      </c>
      <c r="O5" s="618">
        <v>0.97396625000000003</v>
      </c>
    </row>
    <row r="6" spans="1:15" x14ac:dyDescent="0.25">
      <c r="A6" s="724">
        <v>46110</v>
      </c>
      <c r="B6" s="617">
        <v>1</v>
      </c>
      <c r="C6" s="617">
        <v>8854.7369999999992</v>
      </c>
      <c r="D6" s="617">
        <v>88.547369999999987</v>
      </c>
      <c r="E6" s="617">
        <v>49.96</v>
      </c>
      <c r="F6" s="617">
        <v>863.1</v>
      </c>
      <c r="G6" s="617">
        <v>848</v>
      </c>
      <c r="H6" s="617">
        <v>108.637</v>
      </c>
      <c r="I6" s="617">
        <v>108.786</v>
      </c>
      <c r="J6" s="617">
        <v>106.883</v>
      </c>
      <c r="K6" s="617">
        <v>92.25</v>
      </c>
      <c r="L6" s="617">
        <v>106.883</v>
      </c>
      <c r="M6" s="617">
        <v>0</v>
      </c>
      <c r="N6" s="617">
        <v>1.0075230799999999</v>
      </c>
      <c r="O6" s="617">
        <v>0.97516689000000001</v>
      </c>
    </row>
    <row r="7" spans="1:15" x14ac:dyDescent="0.25">
      <c r="A7" s="724">
        <v>46110</v>
      </c>
      <c r="B7" s="617">
        <v>2</v>
      </c>
      <c r="C7" s="617">
        <v>8854.027</v>
      </c>
      <c r="D7" s="617">
        <v>88.540270000000007</v>
      </c>
      <c r="E7" s="617">
        <v>48.18</v>
      </c>
      <c r="F7" s="617">
        <v>863.1</v>
      </c>
      <c r="G7" s="617">
        <v>849.2</v>
      </c>
      <c r="H7" s="617">
        <v>108.991</v>
      </c>
      <c r="I7" s="617">
        <v>109.139</v>
      </c>
      <c r="J7" s="617">
        <v>107.384</v>
      </c>
      <c r="K7" s="617">
        <v>92.683999999999997</v>
      </c>
      <c r="L7" s="617">
        <v>107.384</v>
      </c>
      <c r="M7" s="617">
        <v>0</v>
      </c>
      <c r="N7" s="617">
        <v>1.00744414</v>
      </c>
      <c r="O7" s="617">
        <v>0.97665451999999997</v>
      </c>
    </row>
    <row r="8" spans="1:15" x14ac:dyDescent="0.25">
      <c r="A8" s="724">
        <v>46110</v>
      </c>
      <c r="B8" s="617">
        <v>3</v>
      </c>
      <c r="C8" s="617">
        <v>8854.3179999999993</v>
      </c>
      <c r="D8" s="617">
        <v>88.543179999999992</v>
      </c>
      <c r="E8" s="617">
        <v>46.33</v>
      </c>
      <c r="F8" s="617">
        <v>863.1</v>
      </c>
      <c r="G8" s="617">
        <v>850.5</v>
      </c>
      <c r="H8" s="617">
        <v>109.49</v>
      </c>
      <c r="I8" s="617">
        <v>109.639</v>
      </c>
      <c r="J8" s="617">
        <v>108.038</v>
      </c>
      <c r="K8" s="617">
        <v>93.247</v>
      </c>
      <c r="L8" s="617">
        <v>108.038</v>
      </c>
      <c r="M8" s="617">
        <v>0</v>
      </c>
      <c r="N8" s="617">
        <v>1.00736424</v>
      </c>
      <c r="O8" s="617">
        <v>0.97819221999999995</v>
      </c>
    </row>
    <row r="9" spans="1:15" x14ac:dyDescent="0.25">
      <c r="A9" s="724">
        <v>46110</v>
      </c>
      <c r="B9" s="617">
        <v>4</v>
      </c>
      <c r="C9" s="617">
        <v>8854.2209999999995</v>
      </c>
      <c r="D9" s="617">
        <v>88.542209999999997</v>
      </c>
      <c r="E9" s="617">
        <v>44.85</v>
      </c>
      <c r="F9" s="617">
        <v>863.1</v>
      </c>
      <c r="G9" s="617">
        <v>851.5</v>
      </c>
      <c r="H9" s="617">
        <v>109.642</v>
      </c>
      <c r="I9" s="617">
        <v>109.79</v>
      </c>
      <c r="J9" s="617">
        <v>108.316</v>
      </c>
      <c r="K9" s="617">
        <v>93.488</v>
      </c>
      <c r="L9" s="617">
        <v>108.316</v>
      </c>
      <c r="M9" s="617">
        <v>0</v>
      </c>
      <c r="N9" s="617">
        <v>1.00730034</v>
      </c>
      <c r="O9" s="617">
        <v>0.97942708999999994</v>
      </c>
    </row>
    <row r="10" spans="1:15" x14ac:dyDescent="0.25">
      <c r="A10" s="724">
        <v>46110</v>
      </c>
      <c r="B10" s="617">
        <v>5</v>
      </c>
      <c r="C10" s="617">
        <v>8853.7379999999994</v>
      </c>
      <c r="D10" s="617">
        <v>88.537379999999999</v>
      </c>
      <c r="E10" s="617">
        <v>43.91</v>
      </c>
      <c r="F10" s="617">
        <v>863.1</v>
      </c>
      <c r="G10" s="617">
        <v>852.2</v>
      </c>
      <c r="H10" s="617">
        <v>110.02500000000001</v>
      </c>
      <c r="I10" s="617">
        <v>110.17400000000001</v>
      </c>
      <c r="J10" s="617">
        <v>108.779</v>
      </c>
      <c r="K10" s="617">
        <v>93.887</v>
      </c>
      <c r="L10" s="617">
        <v>108.779</v>
      </c>
      <c r="M10" s="617">
        <v>0</v>
      </c>
      <c r="N10" s="617">
        <v>1.0072596899999999</v>
      </c>
      <c r="O10" s="617">
        <v>0.98021146000000003</v>
      </c>
    </row>
    <row r="11" spans="1:15" x14ac:dyDescent="0.25">
      <c r="A11" s="724">
        <v>46110</v>
      </c>
      <c r="B11" s="617">
        <v>6</v>
      </c>
      <c r="C11" s="617">
        <v>8853.7890000000007</v>
      </c>
      <c r="D11" s="617">
        <v>88.537890000000004</v>
      </c>
      <c r="E11" s="617">
        <v>43.3</v>
      </c>
      <c r="F11" s="617">
        <v>863.1</v>
      </c>
      <c r="G11" s="617">
        <v>852.6</v>
      </c>
      <c r="H11" s="617">
        <v>110.336</v>
      </c>
      <c r="I11" s="617">
        <v>110.485</v>
      </c>
      <c r="J11" s="617">
        <v>109.137</v>
      </c>
      <c r="K11" s="617">
        <v>94.195999999999998</v>
      </c>
      <c r="L11" s="617">
        <v>109.137</v>
      </c>
      <c r="M11" s="617">
        <v>0</v>
      </c>
      <c r="N11" s="617">
        <v>1.0072338300000001</v>
      </c>
      <c r="O11" s="617">
        <v>0.98071878999999995</v>
      </c>
    </row>
    <row r="12" spans="1:15" x14ac:dyDescent="0.25">
      <c r="A12" s="724">
        <v>46110</v>
      </c>
      <c r="B12" s="617">
        <v>7</v>
      </c>
      <c r="C12" s="617">
        <v>8853.4840000000004</v>
      </c>
      <c r="D12" s="617">
        <v>88.534840000000003</v>
      </c>
      <c r="E12" s="617">
        <v>42.88</v>
      </c>
      <c r="F12" s="617">
        <v>863.1</v>
      </c>
      <c r="G12" s="617">
        <v>852.9</v>
      </c>
      <c r="H12" s="617">
        <v>110.251</v>
      </c>
      <c r="I12" s="617">
        <v>110.4</v>
      </c>
      <c r="J12" s="617">
        <v>109.092</v>
      </c>
      <c r="K12" s="617">
        <v>94.156999999999996</v>
      </c>
      <c r="L12" s="617">
        <v>109.092</v>
      </c>
      <c r="M12" s="617">
        <v>0</v>
      </c>
      <c r="N12" s="617">
        <v>1.00721572</v>
      </c>
      <c r="O12" s="617">
        <v>0.98106919999999997</v>
      </c>
    </row>
    <row r="13" spans="1:15" x14ac:dyDescent="0.25">
      <c r="A13" s="724">
        <v>46110</v>
      </c>
      <c r="B13" s="617">
        <v>8</v>
      </c>
      <c r="C13" s="617">
        <v>8853.8719999999994</v>
      </c>
      <c r="D13" s="617">
        <v>88.538719999999998</v>
      </c>
      <c r="E13" s="617">
        <v>42.59</v>
      </c>
      <c r="F13" s="617">
        <v>863.1</v>
      </c>
      <c r="G13" s="617">
        <v>853.1</v>
      </c>
      <c r="H13" s="617">
        <v>110.506</v>
      </c>
      <c r="I13" s="617">
        <v>110.655</v>
      </c>
      <c r="J13" s="617">
        <v>109.369</v>
      </c>
      <c r="K13" s="617">
        <v>94.396000000000001</v>
      </c>
      <c r="L13" s="617">
        <v>109.369</v>
      </c>
      <c r="M13" s="617">
        <v>0</v>
      </c>
      <c r="N13" s="617">
        <v>1.00720399</v>
      </c>
      <c r="O13" s="617">
        <v>0.98130611000000001</v>
      </c>
    </row>
    <row r="14" spans="1:15" x14ac:dyDescent="0.25">
      <c r="A14" s="724">
        <v>46110</v>
      </c>
      <c r="B14" s="617">
        <v>9</v>
      </c>
      <c r="C14" s="617">
        <v>8850.3050000000003</v>
      </c>
      <c r="D14" s="617">
        <v>88.503050000000002</v>
      </c>
      <c r="E14" s="617">
        <v>42.4</v>
      </c>
      <c r="F14" s="617">
        <v>863.1</v>
      </c>
      <c r="G14" s="617">
        <v>853.2</v>
      </c>
      <c r="H14" s="617">
        <v>117.806</v>
      </c>
      <c r="I14" s="617">
        <v>117.953</v>
      </c>
      <c r="J14" s="617">
        <v>116.6</v>
      </c>
      <c r="K14" s="617">
        <v>100.63800000000001</v>
      </c>
      <c r="L14" s="617">
        <v>116.6</v>
      </c>
      <c r="M14" s="617">
        <v>0</v>
      </c>
      <c r="N14" s="617">
        <v>1.00719281</v>
      </c>
      <c r="O14" s="617">
        <v>0.98146873000000001</v>
      </c>
    </row>
    <row r="15" spans="1:15" x14ac:dyDescent="0.25">
      <c r="A15" s="724">
        <v>46110</v>
      </c>
      <c r="B15" s="617">
        <v>10</v>
      </c>
      <c r="C15" s="617">
        <v>8854.5020000000004</v>
      </c>
      <c r="D15" s="617">
        <v>88.545020000000008</v>
      </c>
      <c r="E15" s="617">
        <v>42.3</v>
      </c>
      <c r="F15" s="617">
        <v>863.1</v>
      </c>
      <c r="G15" s="617">
        <v>853.3</v>
      </c>
      <c r="H15" s="617">
        <v>111.251</v>
      </c>
      <c r="I15" s="617">
        <v>111.39700000000001</v>
      </c>
      <c r="J15" s="617">
        <v>110.128</v>
      </c>
      <c r="K15" s="617">
        <v>95.051000000000002</v>
      </c>
      <c r="L15" s="617">
        <v>110.128</v>
      </c>
      <c r="M15" s="617">
        <v>0</v>
      </c>
      <c r="N15" s="617">
        <v>1.0071921399999999</v>
      </c>
      <c r="O15" s="617">
        <v>0.98154976999999999</v>
      </c>
    </row>
    <row r="16" spans="1:15" x14ac:dyDescent="0.25">
      <c r="A16" s="724">
        <v>46110</v>
      </c>
      <c r="B16" s="617">
        <v>11</v>
      </c>
      <c r="C16" s="617">
        <v>8841.31</v>
      </c>
      <c r="D16" s="617">
        <v>88.4131</v>
      </c>
      <c r="E16" s="617">
        <v>42.22</v>
      </c>
      <c r="F16" s="617">
        <v>863.1</v>
      </c>
      <c r="G16" s="617">
        <v>853.3</v>
      </c>
      <c r="H16" s="617">
        <v>110.149</v>
      </c>
      <c r="I16" s="617">
        <v>110.297</v>
      </c>
      <c r="J16" s="617">
        <v>109.04600000000001</v>
      </c>
      <c r="K16" s="617">
        <v>94.117999999999995</v>
      </c>
      <c r="L16" s="617">
        <v>109.04600000000001</v>
      </c>
      <c r="M16" s="617">
        <v>0</v>
      </c>
      <c r="N16" s="617">
        <v>1.0071781399999999</v>
      </c>
      <c r="O16" s="617">
        <v>0.98161310999999996</v>
      </c>
    </row>
    <row r="17" spans="1:15" x14ac:dyDescent="0.25">
      <c r="A17" s="724">
        <v>46110</v>
      </c>
      <c r="B17" s="617">
        <v>12</v>
      </c>
      <c r="C17" s="617">
        <v>8854.1</v>
      </c>
      <c r="D17" s="617">
        <v>88.540999999999997</v>
      </c>
      <c r="E17" s="617">
        <v>42.07</v>
      </c>
      <c r="F17" s="617">
        <v>863.1</v>
      </c>
      <c r="G17" s="617">
        <v>853.4</v>
      </c>
      <c r="H17" s="617">
        <v>110.569</v>
      </c>
      <c r="I17" s="617">
        <v>110.717</v>
      </c>
      <c r="J17" s="617">
        <v>109.476</v>
      </c>
      <c r="K17" s="617">
        <v>94.489000000000004</v>
      </c>
      <c r="L17" s="617">
        <v>109.476</v>
      </c>
      <c r="M17" s="617">
        <v>0</v>
      </c>
      <c r="N17" s="617">
        <v>1.0071821599999999</v>
      </c>
      <c r="O17" s="617">
        <v>0.98173975000000002</v>
      </c>
    </row>
    <row r="18" spans="1:15" x14ac:dyDescent="0.25">
      <c r="A18" s="724">
        <v>46110</v>
      </c>
      <c r="B18" s="617">
        <v>13</v>
      </c>
      <c r="C18" s="617">
        <v>8853.9879999999994</v>
      </c>
      <c r="D18" s="617">
        <v>88.539879999999997</v>
      </c>
      <c r="E18" s="617">
        <v>42.04</v>
      </c>
      <c r="F18" s="617">
        <v>863.1</v>
      </c>
      <c r="G18" s="617">
        <v>853.4</v>
      </c>
      <c r="H18" s="617">
        <v>110.82899999999999</v>
      </c>
      <c r="I18" s="617">
        <v>110.97799999999999</v>
      </c>
      <c r="J18" s="617">
        <v>109.73699999999999</v>
      </c>
      <c r="K18" s="617">
        <v>94.713999999999999</v>
      </c>
      <c r="L18" s="617">
        <v>109.73699999999999</v>
      </c>
      <c r="M18" s="617">
        <v>0</v>
      </c>
      <c r="N18" s="617">
        <v>1.00718065</v>
      </c>
      <c r="O18" s="617">
        <v>0.98176788999999998</v>
      </c>
    </row>
    <row r="19" spans="1:15" x14ac:dyDescent="0.25">
      <c r="A19" s="724">
        <v>46110</v>
      </c>
      <c r="B19" s="617">
        <v>14</v>
      </c>
      <c r="C19" s="617">
        <v>8853.6640000000007</v>
      </c>
      <c r="D19" s="617">
        <v>88.536640000000006</v>
      </c>
      <c r="E19" s="617">
        <v>42.01</v>
      </c>
      <c r="F19" s="617">
        <v>863.1</v>
      </c>
      <c r="G19" s="617">
        <v>853.5</v>
      </c>
      <c r="H19" s="617">
        <v>110.23</v>
      </c>
      <c r="I19" s="617">
        <v>110.378</v>
      </c>
      <c r="J19" s="617">
        <v>109.14700000000001</v>
      </c>
      <c r="K19" s="617">
        <v>94.203999999999994</v>
      </c>
      <c r="L19" s="617">
        <v>109.14700000000001</v>
      </c>
      <c r="M19" s="617">
        <v>0</v>
      </c>
      <c r="N19" s="617">
        <v>1.00717919</v>
      </c>
      <c r="O19" s="617">
        <v>0.98179159999999999</v>
      </c>
    </row>
    <row r="20" spans="1:15" x14ac:dyDescent="0.25">
      <c r="A20" s="724">
        <v>46110</v>
      </c>
      <c r="B20" s="617">
        <v>15</v>
      </c>
      <c r="C20" s="617">
        <v>8853.8389999999999</v>
      </c>
      <c r="D20" s="617">
        <v>88.538389999999993</v>
      </c>
      <c r="E20" s="617">
        <v>41.98</v>
      </c>
      <c r="F20" s="617">
        <v>863.1</v>
      </c>
      <c r="G20" s="617">
        <v>853.5</v>
      </c>
      <c r="H20" s="617">
        <v>110.072</v>
      </c>
      <c r="I20" s="617">
        <v>110.221</v>
      </c>
      <c r="J20" s="617">
        <v>108.99299999999999</v>
      </c>
      <c r="K20" s="617">
        <v>94.072999999999993</v>
      </c>
      <c r="L20" s="617">
        <v>108.99299999999999</v>
      </c>
      <c r="M20" s="617">
        <v>0</v>
      </c>
      <c r="N20" s="617">
        <v>1.00717795</v>
      </c>
      <c r="O20" s="617">
        <v>0.98181861000000004</v>
      </c>
    </row>
    <row r="21" spans="1:15" x14ac:dyDescent="0.25">
      <c r="A21" s="724">
        <v>46110</v>
      </c>
      <c r="B21" s="617">
        <v>16</v>
      </c>
      <c r="C21" s="617">
        <v>8854.0249999999996</v>
      </c>
      <c r="D21" s="617">
        <v>88.54025</v>
      </c>
      <c r="E21" s="617">
        <v>41.97</v>
      </c>
      <c r="F21" s="617">
        <v>863.1</v>
      </c>
      <c r="G21" s="617">
        <v>853.5</v>
      </c>
      <c r="H21" s="617">
        <v>109.47799999999999</v>
      </c>
      <c r="I21" s="617">
        <v>109.627</v>
      </c>
      <c r="J21" s="617">
        <v>108.40600000000001</v>
      </c>
      <c r="K21" s="617">
        <v>93.564999999999998</v>
      </c>
      <c r="L21" s="617">
        <v>108.40600000000001</v>
      </c>
      <c r="M21" s="617">
        <v>0</v>
      </c>
      <c r="N21" s="617">
        <v>1.00717795</v>
      </c>
      <c r="O21" s="617">
        <v>0.98182174</v>
      </c>
    </row>
    <row r="22" spans="1:15" x14ac:dyDescent="0.25">
      <c r="A22" s="724">
        <v>46110</v>
      </c>
      <c r="B22" s="617">
        <v>17</v>
      </c>
      <c r="C22" s="617">
        <v>8780.51</v>
      </c>
      <c r="D22" s="617">
        <v>87.805099999999996</v>
      </c>
      <c r="E22" s="617">
        <v>41.9</v>
      </c>
      <c r="F22" s="617">
        <v>863.1</v>
      </c>
      <c r="G22" s="617">
        <v>853.5</v>
      </c>
      <c r="H22" s="617">
        <v>109.78400000000001</v>
      </c>
      <c r="I22" s="617">
        <v>109.93</v>
      </c>
      <c r="J22" s="617">
        <v>108.70699999999999</v>
      </c>
      <c r="K22" s="617">
        <v>93.825000000000003</v>
      </c>
      <c r="L22" s="617">
        <v>108.70699999999999</v>
      </c>
      <c r="M22" s="617">
        <v>0</v>
      </c>
      <c r="N22" s="617">
        <v>1.007115</v>
      </c>
      <c r="O22" s="617">
        <v>0.98188109000000001</v>
      </c>
    </row>
    <row r="23" spans="1:15" x14ac:dyDescent="0.25">
      <c r="A23" s="724">
        <v>46110</v>
      </c>
      <c r="B23" s="617">
        <v>18</v>
      </c>
      <c r="C23" s="617">
        <v>8849.9230000000007</v>
      </c>
      <c r="D23" s="617">
        <v>88.499230000000011</v>
      </c>
      <c r="E23" s="617">
        <v>41.97</v>
      </c>
      <c r="F23" s="617">
        <v>863.1</v>
      </c>
      <c r="G23" s="617">
        <v>853.5</v>
      </c>
      <c r="H23" s="617">
        <v>109.375</v>
      </c>
      <c r="I23" s="617">
        <v>109.521</v>
      </c>
      <c r="J23" s="617">
        <v>108.30200000000001</v>
      </c>
      <c r="K23" s="617">
        <v>93.474999999999994</v>
      </c>
      <c r="L23" s="617">
        <v>108.30200000000001</v>
      </c>
      <c r="M23" s="617">
        <v>0</v>
      </c>
      <c r="N23" s="617">
        <v>1.00717462</v>
      </c>
      <c r="O23" s="617">
        <v>0.98182133999999999</v>
      </c>
    </row>
    <row r="24" spans="1:15" x14ac:dyDescent="0.25">
      <c r="A24" s="724">
        <v>46110</v>
      </c>
      <c r="B24" s="617">
        <v>19</v>
      </c>
      <c r="C24" s="617">
        <v>8724.8989999999994</v>
      </c>
      <c r="D24" s="617">
        <v>87.248989999999992</v>
      </c>
      <c r="E24" s="617">
        <v>41.89</v>
      </c>
      <c r="F24" s="617">
        <v>863.1</v>
      </c>
      <c r="G24" s="617">
        <v>853.5</v>
      </c>
      <c r="H24" s="617">
        <v>130.054</v>
      </c>
      <c r="I24" s="617">
        <v>130.18700000000001</v>
      </c>
      <c r="J24" s="617">
        <v>128.732</v>
      </c>
      <c r="K24" s="617">
        <v>111.10899999999999</v>
      </c>
      <c r="L24" s="617">
        <v>128.732</v>
      </c>
      <c r="M24" s="617">
        <v>0</v>
      </c>
      <c r="N24" s="617">
        <v>1.00706918</v>
      </c>
      <c r="O24" s="617">
        <v>0.98188982999999996</v>
      </c>
    </row>
    <row r="25" spans="1:15" x14ac:dyDescent="0.25">
      <c r="A25" s="724">
        <v>46110</v>
      </c>
      <c r="B25" s="617">
        <v>20</v>
      </c>
      <c r="C25" s="617">
        <v>8365.143</v>
      </c>
      <c r="D25" s="617">
        <v>83.651430000000005</v>
      </c>
      <c r="E25" s="617">
        <v>45.94</v>
      </c>
      <c r="F25" s="617">
        <v>863.1</v>
      </c>
      <c r="G25" s="617">
        <v>850.4</v>
      </c>
      <c r="H25" s="617">
        <v>451.37200000000001</v>
      </c>
      <c r="I25" s="617">
        <v>450.928</v>
      </c>
      <c r="J25" s="617">
        <v>444.30399999999997</v>
      </c>
      <c r="K25" s="617">
        <v>383.47800000000001</v>
      </c>
      <c r="L25" s="617">
        <v>444.30399999999997</v>
      </c>
      <c r="M25" s="617">
        <v>0</v>
      </c>
      <c r="N25" s="617">
        <v>1.00693929</v>
      </c>
      <c r="O25" s="617">
        <v>0.97851772999999997</v>
      </c>
    </row>
    <row r="26" spans="1:15" x14ac:dyDescent="0.25">
      <c r="A26" s="724">
        <v>46110</v>
      </c>
      <c r="B26" s="617">
        <v>21</v>
      </c>
      <c r="C26" s="617">
        <v>8358.5969999999998</v>
      </c>
      <c r="D26" s="617">
        <v>83.585970000000003</v>
      </c>
      <c r="E26" s="617">
        <v>56.98</v>
      </c>
      <c r="F26" s="617">
        <v>863.1</v>
      </c>
      <c r="G26" s="617">
        <v>842.8</v>
      </c>
      <c r="H26" s="617">
        <v>454.64400000000001</v>
      </c>
      <c r="I26" s="617">
        <v>454.18</v>
      </c>
      <c r="J26" s="617">
        <v>443.495</v>
      </c>
      <c r="K26" s="617">
        <v>382.78100000000001</v>
      </c>
      <c r="L26" s="617">
        <v>443.495</v>
      </c>
      <c r="M26" s="617">
        <v>0</v>
      </c>
      <c r="N26" s="617">
        <v>1.00739789</v>
      </c>
      <c r="O26" s="617">
        <v>0.96930503000000001</v>
      </c>
    </row>
    <row r="31" spans="1:15" x14ac:dyDescent="0.25">
      <c r="B31" s="12" t="s">
        <v>502</v>
      </c>
    </row>
    <row r="32" spans="1:15" x14ac:dyDescent="0.25">
      <c r="B32" s="724">
        <v>46109</v>
      </c>
      <c r="C32" s="633">
        <v>8472.4629999999997</v>
      </c>
      <c r="D32" s="633">
        <v>84.724629999999991</v>
      </c>
      <c r="E32" s="633">
        <v>61.81</v>
      </c>
      <c r="F32" s="633">
        <v>863.1</v>
      </c>
      <c r="G32" s="633">
        <v>839.5</v>
      </c>
      <c r="H32" s="633">
        <v>6201.86</v>
      </c>
      <c r="I32" s="633">
        <v>6197.3320000000003</v>
      </c>
      <c r="J32" s="633">
        <v>6028.2110000000002</v>
      </c>
      <c r="K32" s="633">
        <v>5202.9489999999996</v>
      </c>
      <c r="L32" s="633">
        <v>6028.2110000000002</v>
      </c>
      <c r="M32" s="633">
        <v>0</v>
      </c>
      <c r="N32" s="633">
        <v>1.0077134599999999</v>
      </c>
      <c r="O32" s="633">
        <v>0.96526544000000003</v>
      </c>
    </row>
    <row r="33" spans="2:15" x14ac:dyDescent="0.25">
      <c r="B33" s="724">
        <v>46110</v>
      </c>
      <c r="C33" s="633">
        <v>8597.42</v>
      </c>
      <c r="D33" s="633">
        <v>85.974199999999996</v>
      </c>
      <c r="E33" s="633">
        <v>51.96</v>
      </c>
      <c r="F33" s="633">
        <v>863.1</v>
      </c>
      <c r="G33" s="633">
        <v>846.4</v>
      </c>
      <c r="H33" s="633">
        <v>4436.8090000000002</v>
      </c>
      <c r="I33" s="633">
        <v>4437.2759999999998</v>
      </c>
      <c r="J33" s="633">
        <v>4351.5590000000002</v>
      </c>
      <c r="K33" s="633">
        <v>3755.8310000000001</v>
      </c>
      <c r="L33" s="633">
        <v>4351.5590000000002</v>
      </c>
      <c r="M33" s="633">
        <v>0</v>
      </c>
      <c r="N33" s="633">
        <v>1.0073920999999999</v>
      </c>
      <c r="O33" s="633">
        <v>0.97348884000000002</v>
      </c>
    </row>
    <row r="34" spans="2:15" x14ac:dyDescent="0.25">
      <c r="B34" s="724">
        <v>46111</v>
      </c>
      <c r="C34" s="633">
        <v>8410.6579999999994</v>
      </c>
      <c r="D34" s="633">
        <v>84.106579999999994</v>
      </c>
      <c r="E34" s="633">
        <v>60.83</v>
      </c>
      <c r="F34" s="633">
        <v>863.1</v>
      </c>
      <c r="G34" s="633">
        <v>840.2</v>
      </c>
      <c r="H34" s="633">
        <v>5362.43</v>
      </c>
      <c r="I34" s="633">
        <v>5357.232</v>
      </c>
      <c r="J34" s="633">
        <v>5214.884</v>
      </c>
      <c r="K34" s="633">
        <v>4500.9660000000003</v>
      </c>
      <c r="L34" s="633">
        <v>5214.884</v>
      </c>
      <c r="M34" s="633">
        <v>0</v>
      </c>
      <c r="N34" s="633">
        <v>1.0076262199999999</v>
      </c>
      <c r="O34" s="633">
        <v>0.96606535999999998</v>
      </c>
    </row>
  </sheetData>
  <mergeCells count="2">
    <mergeCell ref="A1:A2"/>
    <mergeCell ref="B1:B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252-6077-40E9-A742-6FD5205C895C}">
  <sheetPr codeName="Sheet12">
    <tabColor theme="9" tint="-0.249977111117893"/>
  </sheetPr>
  <dimension ref="A1:CS92"/>
  <sheetViews>
    <sheetView showGridLines="0" topLeftCell="A5" zoomScale="75" zoomScaleNormal="115" zoomScaleSheetLayoutView="70" zoomScalePageLayoutView="55" workbookViewId="0">
      <pane xSplit="2" ySplit="5" topLeftCell="AW10" activePane="bottomRight" state="frozen"/>
      <selection pane="topRight" activeCell="C5" sqref="C5"/>
      <selection pane="bottomLeft" activeCell="A10" sqref="A10"/>
      <selection pane="bottomRight" activeCell="BT10" sqref="BT10"/>
    </sheetView>
  </sheetViews>
  <sheetFormatPr defaultColWidth="18.28515625" defaultRowHeight="15" outlineLevelCol="1" x14ac:dyDescent="0.25"/>
  <cols>
    <col min="1" max="1" width="32" style="28" bestFit="1" customWidth="1"/>
    <col min="2" max="2" width="21.85546875" style="28" customWidth="1"/>
    <col min="3" max="3" width="9.85546875" style="29" hidden="1" customWidth="1"/>
    <col min="4" max="7" width="11.85546875" style="29" hidden="1" customWidth="1"/>
    <col min="8" max="16" width="15.42578125" style="29" hidden="1" customWidth="1"/>
    <col min="17" max="34" width="14.85546875" style="28" customWidth="1"/>
    <col min="35" max="35" width="6.28515625" style="28" customWidth="1"/>
    <col min="36" max="39" width="19.140625" style="28" customWidth="1"/>
    <col min="40" max="42" width="18.28515625" style="28" customWidth="1"/>
    <col min="43" max="45" width="18.42578125" style="28" customWidth="1"/>
    <col min="46" max="47" width="12.5703125" style="28" customWidth="1"/>
    <col min="48" max="50" width="14.140625" style="28" customWidth="1"/>
    <col min="51" max="55" width="15.7109375" style="28" customWidth="1" outlineLevel="1"/>
    <col min="56" max="56" width="20" style="28" customWidth="1" outlineLevel="1"/>
    <col min="57" max="57" width="15.7109375" style="28" customWidth="1" outlineLevel="1"/>
    <col min="58" max="62" width="15.7109375" style="28" customWidth="1"/>
    <col min="63" max="63" width="6.42578125" style="28" customWidth="1"/>
    <col min="64" max="64" width="14.5703125" style="28" hidden="1" customWidth="1"/>
    <col min="65" max="65" width="13.85546875" style="28" hidden="1" customWidth="1"/>
    <col min="66" max="66" width="13.140625" style="28" hidden="1" customWidth="1"/>
    <col min="67" max="69" width="14.5703125" style="28" hidden="1" customWidth="1"/>
    <col min="70" max="70" width="3.42578125" style="28" customWidth="1"/>
    <col min="71" max="71" width="3.5703125" style="28" customWidth="1"/>
    <col min="72" max="72" width="15" style="28" bestFit="1" customWidth="1"/>
    <col min="73" max="73" width="18.7109375" style="28" bestFit="1" customWidth="1"/>
    <col min="74" max="74" width="18.85546875" style="28" bestFit="1" customWidth="1"/>
    <col min="75" max="75" width="17.85546875" style="28" bestFit="1" customWidth="1"/>
    <col min="76" max="76" width="20.140625" style="28" bestFit="1" customWidth="1"/>
    <col min="77" max="77" width="19.28515625" style="28" bestFit="1" customWidth="1"/>
    <col min="78" max="78" width="17.7109375" style="28" bestFit="1" customWidth="1"/>
    <col min="79" max="79" width="16.7109375" style="28" hidden="1" customWidth="1"/>
    <col min="80" max="80" width="18.140625" style="28" bestFit="1" customWidth="1"/>
    <col min="81" max="81" width="19.140625" style="28" hidden="1" customWidth="1"/>
    <col min="82" max="82" width="9.28515625" style="28" bestFit="1" customWidth="1"/>
    <col min="83" max="83" width="11.28515625" style="28" bestFit="1" customWidth="1"/>
    <col min="84" max="84" width="2.85546875" style="28" customWidth="1"/>
    <col min="85" max="85" width="19.28515625" style="28" hidden="1" customWidth="1"/>
    <col min="86" max="86" width="18.5703125" style="28" hidden="1" customWidth="1"/>
    <col min="87" max="87" width="20" style="28" hidden="1" customWidth="1"/>
    <col min="88" max="88" width="17.28515625" style="28" hidden="1" customWidth="1"/>
    <col min="89" max="89" width="16.7109375" style="28" hidden="1" customWidth="1"/>
    <col min="90" max="90" width="13.85546875" style="28" hidden="1" customWidth="1"/>
    <col min="91" max="91" width="13" style="28" hidden="1" customWidth="1"/>
    <col min="92" max="92" width="17.7109375" style="28" hidden="1" customWidth="1"/>
    <col min="93" max="93" width="14.85546875" style="28" hidden="1" customWidth="1"/>
    <col min="94" max="94" width="17.42578125" style="28" hidden="1" customWidth="1"/>
    <col min="95" max="95" width="16.7109375" style="28" hidden="1" customWidth="1"/>
    <col min="96" max="96" width="9.140625" style="28" hidden="1" customWidth="1"/>
    <col min="97" max="97" width="19.42578125" style="28" customWidth="1"/>
    <col min="98" max="16384" width="18.28515625" style="28"/>
  </cols>
  <sheetData>
    <row r="1" spans="1:96" ht="54" customHeight="1" x14ac:dyDescent="0.25">
      <c r="A1" s="89"/>
      <c r="B1" s="89"/>
      <c r="C1" s="772" t="s">
        <v>79</v>
      </c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2"/>
      <c r="S1" s="772"/>
      <c r="T1" s="772"/>
      <c r="U1" s="772"/>
      <c r="V1" s="772"/>
      <c r="W1" s="772"/>
      <c r="X1" s="772"/>
      <c r="Y1" s="772"/>
      <c r="Z1" s="772"/>
      <c r="AA1" s="772"/>
      <c r="AB1" s="772"/>
      <c r="AC1" s="772"/>
      <c r="AD1" s="772"/>
      <c r="AE1" s="772"/>
      <c r="AF1" s="772"/>
      <c r="AG1" s="772"/>
      <c r="AH1" s="772"/>
      <c r="AI1" s="772"/>
      <c r="AJ1" s="772"/>
      <c r="AK1" s="772"/>
      <c r="AL1" s="772"/>
      <c r="AM1" s="772"/>
      <c r="AN1" s="772"/>
      <c r="AO1" s="772"/>
      <c r="AP1" s="772"/>
      <c r="AQ1" s="772"/>
      <c r="AR1" s="772"/>
      <c r="AS1" s="772"/>
      <c r="AT1" s="772"/>
      <c r="AU1" s="772"/>
      <c r="AV1" s="772"/>
      <c r="AW1" s="772"/>
      <c r="AX1" s="772"/>
      <c r="AY1" s="772"/>
      <c r="AZ1" s="772"/>
      <c r="BA1" s="327"/>
      <c r="BB1" s="327"/>
      <c r="BC1" s="772"/>
      <c r="BD1" s="772"/>
      <c r="BE1" s="772"/>
      <c r="BF1" s="772"/>
      <c r="BG1" s="327"/>
      <c r="BH1" s="327"/>
      <c r="BI1" s="772"/>
      <c r="BJ1" s="772"/>
      <c r="BK1" s="772"/>
      <c r="BL1" s="772"/>
      <c r="BM1" s="772"/>
      <c r="BN1" s="772"/>
      <c r="BO1" s="772"/>
      <c r="BP1" s="772"/>
      <c r="BQ1" s="772"/>
      <c r="BR1" s="772"/>
      <c r="BS1" s="772"/>
      <c r="BT1" s="772"/>
      <c r="BU1" s="772"/>
      <c r="BV1" s="772"/>
      <c r="BW1" s="772"/>
      <c r="BX1" s="772"/>
      <c r="BY1" s="772"/>
      <c r="BZ1" s="772"/>
      <c r="CA1" s="772"/>
      <c r="CB1" s="772"/>
      <c r="CC1" s="772"/>
      <c r="CD1" s="772"/>
      <c r="CE1" s="772"/>
      <c r="CF1" s="772"/>
      <c r="CG1" s="772" t="s">
        <v>79</v>
      </c>
      <c r="CH1" s="772"/>
      <c r="CI1" s="772"/>
      <c r="CJ1" s="772" t="s">
        <v>79</v>
      </c>
      <c r="CK1" s="772"/>
      <c r="CL1" s="772"/>
      <c r="CM1" s="772" t="s">
        <v>79</v>
      </c>
      <c r="CN1" s="772"/>
      <c r="CO1" s="772"/>
      <c r="CP1" s="772" t="s">
        <v>79</v>
      </c>
      <c r="CQ1" s="772"/>
      <c r="CR1" s="772"/>
    </row>
    <row r="2" spans="1:96" ht="30.75" customHeight="1" x14ac:dyDescent="0.35">
      <c r="A2" s="889" t="s">
        <v>588</v>
      </c>
      <c r="B2" s="889"/>
      <c r="C2" s="890"/>
      <c r="D2" s="890"/>
      <c r="E2" s="890"/>
      <c r="F2" s="890"/>
      <c r="G2" s="890"/>
      <c r="H2" s="890"/>
      <c r="I2" s="890"/>
      <c r="J2" s="890"/>
      <c r="K2" s="890"/>
      <c r="L2" s="890"/>
      <c r="M2" s="890"/>
      <c r="N2" s="890"/>
      <c r="O2" s="890"/>
      <c r="P2" s="890"/>
      <c r="Q2" s="890"/>
      <c r="R2" s="890"/>
      <c r="S2" s="890"/>
      <c r="T2" s="890"/>
      <c r="U2" s="890"/>
      <c r="V2" s="890"/>
      <c r="W2" s="890"/>
      <c r="X2" s="890"/>
      <c r="Y2" s="890"/>
      <c r="Z2" s="890"/>
      <c r="AA2" s="890"/>
      <c r="AB2" s="890"/>
      <c r="AC2" s="890"/>
      <c r="AD2" s="890"/>
      <c r="AE2" s="890"/>
      <c r="AF2" s="890"/>
      <c r="AG2" s="890"/>
      <c r="AH2" s="890"/>
      <c r="AI2" s="890"/>
      <c r="AJ2" s="890"/>
      <c r="AK2" s="890"/>
      <c r="AL2" s="890"/>
      <c r="AM2" s="890"/>
      <c r="AN2" s="890"/>
      <c r="AO2" s="890"/>
      <c r="AP2" s="890"/>
      <c r="AQ2" s="890"/>
      <c r="AR2" s="890"/>
      <c r="AS2" s="890"/>
      <c r="AT2" s="890"/>
      <c r="AU2" s="890"/>
      <c r="AV2" s="890"/>
      <c r="AW2" s="890"/>
      <c r="AX2" s="890"/>
      <c r="AY2" s="890"/>
      <c r="AZ2" s="890"/>
      <c r="BA2" s="890"/>
      <c r="BB2" s="890"/>
      <c r="BC2" s="890"/>
      <c r="BD2" s="890"/>
      <c r="BE2" s="890"/>
      <c r="BF2" s="890"/>
      <c r="BG2" s="890"/>
      <c r="BH2" s="890"/>
      <c r="BI2" s="890"/>
      <c r="BJ2" s="890"/>
      <c r="BK2" s="890"/>
      <c r="BL2" s="890"/>
      <c r="BM2" s="890"/>
      <c r="BN2" s="890"/>
      <c r="BO2" s="890"/>
      <c r="BP2" s="890"/>
      <c r="BQ2" s="890"/>
      <c r="BR2" s="890"/>
      <c r="BS2" s="890"/>
      <c r="BT2" s="890"/>
      <c r="BU2" s="890"/>
      <c r="BV2" s="890"/>
      <c r="BW2" s="890"/>
      <c r="BX2" s="890"/>
      <c r="BY2" s="890"/>
      <c r="BZ2" s="890"/>
      <c r="CA2" s="890"/>
      <c r="CB2" s="890"/>
      <c r="CC2" s="890"/>
      <c r="CD2" s="890"/>
      <c r="CE2" s="890"/>
      <c r="CF2" s="890"/>
      <c r="CG2" s="890"/>
      <c r="CH2" s="890"/>
      <c r="CI2" s="890"/>
      <c r="CJ2" s="890"/>
      <c r="CK2" s="890"/>
      <c r="CL2" s="890"/>
      <c r="CM2" s="890"/>
      <c r="CN2" s="890"/>
      <c r="CO2" s="890"/>
      <c r="CP2" s="890"/>
      <c r="CQ2" s="890"/>
      <c r="CR2" s="890"/>
    </row>
    <row r="3" spans="1:96" ht="15.75" thickBot="1" x14ac:dyDescent="0.3"/>
    <row r="4" spans="1:96" ht="15.75" thickBot="1" x14ac:dyDescent="0.3">
      <c r="A4" s="824" t="s">
        <v>327</v>
      </c>
      <c r="B4" s="825"/>
      <c r="C4" s="825"/>
      <c r="D4" s="825"/>
      <c r="E4" s="825"/>
      <c r="F4" s="825"/>
      <c r="G4" s="825"/>
      <c r="H4" s="825"/>
      <c r="I4" s="825"/>
      <c r="J4" s="825"/>
      <c r="K4" s="825"/>
      <c r="L4" s="826"/>
      <c r="M4" s="825"/>
      <c r="N4" s="827"/>
    </row>
    <row r="5" spans="1:96" ht="45.75" customHeight="1" x14ac:dyDescent="0.25">
      <c r="A5" s="831" t="s">
        <v>328</v>
      </c>
      <c r="B5" s="832"/>
      <c r="C5" s="832"/>
      <c r="D5" s="832"/>
      <c r="E5" s="832"/>
      <c r="F5" s="833"/>
      <c r="G5" s="828" t="s">
        <v>329</v>
      </c>
      <c r="H5" s="828"/>
      <c r="I5" s="828"/>
      <c r="J5" s="835" t="s">
        <v>330</v>
      </c>
      <c r="K5" s="837"/>
      <c r="L5" s="326" t="s">
        <v>331</v>
      </c>
      <c r="M5" s="829" t="s">
        <v>332</v>
      </c>
      <c r="N5" s="830"/>
    </row>
    <row r="6" spans="1:96" x14ac:dyDescent="0.25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179"/>
      <c r="AJ6" s="179"/>
      <c r="AK6" s="179"/>
      <c r="AL6" s="179"/>
      <c r="AM6" s="179"/>
      <c r="AN6" s="179"/>
      <c r="AO6" s="179"/>
      <c r="AP6" s="179"/>
      <c r="AQ6" s="179"/>
      <c r="AR6" s="179"/>
      <c r="AS6" s="179"/>
      <c r="AT6" s="179"/>
      <c r="AU6" s="179"/>
      <c r="AV6" s="179"/>
      <c r="AW6" s="179"/>
      <c r="AX6" s="179"/>
      <c r="AY6" s="179"/>
      <c r="AZ6" s="179"/>
      <c r="BA6" s="179"/>
      <c r="BB6" s="179"/>
      <c r="BC6" s="179"/>
      <c r="BD6" s="179"/>
      <c r="BE6" s="179"/>
      <c r="BF6" s="179"/>
      <c r="BG6" s="179"/>
      <c r="BH6" s="179"/>
      <c r="BI6" s="179"/>
      <c r="BJ6" s="179"/>
      <c r="BK6" s="179"/>
      <c r="BL6" s="179"/>
      <c r="BM6" s="179"/>
      <c r="BN6" s="179"/>
      <c r="BO6" s="179"/>
      <c r="BP6" s="179"/>
      <c r="BQ6" s="179"/>
      <c r="BR6" s="179"/>
      <c r="BS6" s="179"/>
      <c r="BT6" s="179"/>
      <c r="BU6" s="179"/>
      <c r="BV6" s="179"/>
      <c r="BW6" s="179"/>
      <c r="BX6" s="179"/>
      <c r="BY6" s="179"/>
      <c r="BZ6" s="179"/>
      <c r="CA6" s="179"/>
      <c r="CB6" s="179"/>
      <c r="CC6" s="179"/>
      <c r="CD6" s="179"/>
      <c r="CE6" s="179"/>
      <c r="CF6" s="179"/>
      <c r="CG6" s="179"/>
      <c r="CH6" s="179"/>
      <c r="CI6" s="179"/>
      <c r="CJ6" s="179"/>
      <c r="CK6" s="179"/>
      <c r="CL6" s="179"/>
      <c r="CM6" s="179"/>
      <c r="CN6" s="179"/>
      <c r="CO6" s="179"/>
      <c r="CP6" s="179"/>
      <c r="CQ6" s="179"/>
      <c r="CR6" s="179"/>
    </row>
    <row r="7" spans="1:96" s="118" customFormat="1" ht="42" customHeight="1" thickBot="1" x14ac:dyDescent="0.3">
      <c r="A7" s="834"/>
      <c r="B7" s="834"/>
      <c r="D7" s="510" t="s">
        <v>589</v>
      </c>
      <c r="E7" s="119" t="s">
        <v>590</v>
      </c>
      <c r="F7" s="119" t="s">
        <v>591</v>
      </c>
      <c r="G7" s="119" t="s">
        <v>592</v>
      </c>
      <c r="H7" s="119" t="s">
        <v>337</v>
      </c>
      <c r="I7" s="119" t="s">
        <v>337</v>
      </c>
      <c r="J7" s="119" t="s">
        <v>337</v>
      </c>
      <c r="K7" s="119" t="s">
        <v>339</v>
      </c>
      <c r="L7" s="119" t="s">
        <v>339</v>
      </c>
      <c r="M7" s="119"/>
      <c r="N7" s="119"/>
      <c r="O7" s="119"/>
      <c r="P7" s="119"/>
      <c r="Q7" s="119"/>
      <c r="R7" s="119"/>
      <c r="S7" s="119"/>
      <c r="T7" s="119" t="s">
        <v>339</v>
      </c>
      <c r="U7" s="119" t="s">
        <v>339</v>
      </c>
      <c r="V7" s="119"/>
      <c r="W7" s="119"/>
      <c r="X7" s="119"/>
      <c r="Y7" s="119"/>
      <c r="Z7" s="119"/>
      <c r="AA7" s="119" t="s">
        <v>337</v>
      </c>
      <c r="AB7" s="119" t="s">
        <v>337</v>
      </c>
      <c r="AC7" s="119" t="s">
        <v>337</v>
      </c>
      <c r="AD7" s="119"/>
      <c r="AE7" s="119"/>
      <c r="AF7" s="119" t="s">
        <v>337</v>
      </c>
      <c r="AG7" s="119" t="s">
        <v>337</v>
      </c>
      <c r="AH7" s="119" t="s">
        <v>337</v>
      </c>
      <c r="AI7" s="119"/>
      <c r="AL7" s="119"/>
      <c r="AM7" s="120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</row>
    <row r="8" spans="1:96" s="118" customFormat="1" ht="32.25" customHeight="1" thickBot="1" x14ac:dyDescent="0.3">
      <c r="A8" s="117"/>
      <c r="B8" s="823"/>
      <c r="C8" s="823"/>
      <c r="D8" s="820" t="s">
        <v>340</v>
      </c>
      <c r="E8" s="821"/>
      <c r="F8" s="821"/>
      <c r="G8" s="821"/>
      <c r="H8" s="821"/>
      <c r="I8" s="821"/>
      <c r="J8" s="821"/>
      <c r="K8" s="821"/>
      <c r="L8" s="822"/>
      <c r="M8" s="820" t="s">
        <v>341</v>
      </c>
      <c r="N8" s="821"/>
      <c r="O8" s="821"/>
      <c r="P8" s="822"/>
      <c r="Q8" s="888" t="s">
        <v>593</v>
      </c>
      <c r="R8" s="848"/>
      <c r="S8" s="848"/>
      <c r="T8" s="848"/>
      <c r="U8" s="849"/>
      <c r="V8" s="162"/>
      <c r="W8" s="162"/>
      <c r="X8" s="162"/>
      <c r="Y8" s="162"/>
      <c r="Z8" s="162"/>
      <c r="AA8" s="820" t="s">
        <v>343</v>
      </c>
      <c r="AB8" s="821"/>
      <c r="AC8" s="821"/>
      <c r="AD8" s="821"/>
      <c r="AE8" s="821"/>
      <c r="AF8" s="821"/>
      <c r="AG8" s="821"/>
      <c r="AH8" s="822"/>
      <c r="AI8" s="119"/>
      <c r="AJ8" s="859" t="s">
        <v>344</v>
      </c>
      <c r="AK8" s="860"/>
      <c r="AL8" s="860"/>
      <c r="AM8" s="860"/>
      <c r="AN8" s="860"/>
      <c r="AO8" s="860"/>
      <c r="AP8" s="860"/>
      <c r="AQ8" s="860"/>
      <c r="AR8" s="860"/>
      <c r="AS8" s="860"/>
      <c r="AT8" s="860"/>
      <c r="AU8" s="861"/>
      <c r="AV8" s="859" t="s">
        <v>345</v>
      </c>
      <c r="AW8" s="860"/>
      <c r="AX8" s="860"/>
      <c r="AY8" s="855" t="s">
        <v>343</v>
      </c>
      <c r="AZ8" s="857"/>
      <c r="BA8" s="857"/>
      <c r="BB8" s="857"/>
      <c r="BC8" s="857"/>
      <c r="BD8" s="857"/>
      <c r="BE8" s="857"/>
      <c r="BF8" s="857"/>
      <c r="BG8" s="857"/>
      <c r="BH8" s="857"/>
      <c r="BI8" s="857"/>
      <c r="BJ8" s="858"/>
      <c r="BK8" s="144"/>
      <c r="BL8" s="850" t="s">
        <v>346</v>
      </c>
      <c r="BM8" s="851"/>
      <c r="BN8" s="851"/>
      <c r="BO8" s="851"/>
      <c r="BP8" s="851"/>
      <c r="BQ8" s="852"/>
      <c r="BR8" s="144"/>
      <c r="BS8" s="144"/>
      <c r="BT8" s="136"/>
      <c r="BY8" s="136"/>
      <c r="BZ8" s="882" t="s">
        <v>594</v>
      </c>
      <c r="CA8" s="853"/>
      <c r="CB8" s="853"/>
      <c r="CC8" s="853"/>
      <c r="CD8" s="853"/>
      <c r="CE8" s="854"/>
    </row>
    <row r="9" spans="1:96" ht="115.5" customHeight="1" thickBot="1" x14ac:dyDescent="0.3">
      <c r="A9" s="121" t="s">
        <v>349</v>
      </c>
      <c r="B9" s="122" t="s">
        <v>350</v>
      </c>
      <c r="C9" s="208" t="s">
        <v>351</v>
      </c>
      <c r="D9" s="257" t="s">
        <v>352</v>
      </c>
      <c r="E9" s="257" t="s">
        <v>353</v>
      </c>
      <c r="F9" s="257" t="s">
        <v>354</v>
      </c>
      <c r="G9" s="257" t="s">
        <v>355</v>
      </c>
      <c r="H9" s="121" t="s">
        <v>356</v>
      </c>
      <c r="I9" s="122" t="s">
        <v>357</v>
      </c>
      <c r="J9" s="122" t="s">
        <v>358</v>
      </c>
      <c r="K9" s="122" t="s">
        <v>360</v>
      </c>
      <c r="L9" s="574" t="s">
        <v>361</v>
      </c>
      <c r="M9" s="401" t="s">
        <v>362</v>
      </c>
      <c r="N9" s="402" t="s">
        <v>363</v>
      </c>
      <c r="O9" s="402" t="s">
        <v>364</v>
      </c>
      <c r="P9" s="671" t="s">
        <v>365</v>
      </c>
      <c r="Q9" s="212" t="s">
        <v>595</v>
      </c>
      <c r="R9" s="521" t="s">
        <v>596</v>
      </c>
      <c r="S9" s="248" t="s">
        <v>597</v>
      </c>
      <c r="T9" s="212" t="s">
        <v>598</v>
      </c>
      <c r="U9" s="248" t="s">
        <v>599</v>
      </c>
      <c r="V9" s="525" t="s">
        <v>371</v>
      </c>
      <c r="W9" s="521" t="s">
        <v>372</v>
      </c>
      <c r="X9" s="522" t="s">
        <v>373</v>
      </c>
      <c r="Y9" s="521" t="s">
        <v>374</v>
      </c>
      <c r="Z9" s="523" t="s">
        <v>375</v>
      </c>
      <c r="AA9" s="212" t="s">
        <v>376</v>
      </c>
      <c r="AB9" s="521" t="s">
        <v>377</v>
      </c>
      <c r="AC9" s="248" t="s">
        <v>378</v>
      </c>
      <c r="AD9" s="247" t="s">
        <v>379</v>
      </c>
      <c r="AE9" s="248" t="s">
        <v>380</v>
      </c>
      <c r="AF9" s="525" t="s">
        <v>381</v>
      </c>
      <c r="AG9" s="213" t="s">
        <v>382</v>
      </c>
      <c r="AH9" s="214" t="s">
        <v>383</v>
      </c>
      <c r="AJ9" s="131" t="s">
        <v>384</v>
      </c>
      <c r="AK9" s="132" t="s">
        <v>385</v>
      </c>
      <c r="AL9" s="131" t="s">
        <v>386</v>
      </c>
      <c r="AM9" s="133" t="s">
        <v>600</v>
      </c>
      <c r="AN9" s="134" t="s">
        <v>388</v>
      </c>
      <c r="AO9" s="734" t="s">
        <v>601</v>
      </c>
      <c r="AP9" s="133" t="s">
        <v>390</v>
      </c>
      <c r="AQ9" s="133" t="s">
        <v>391</v>
      </c>
      <c r="AR9" s="133" t="s">
        <v>392</v>
      </c>
      <c r="AS9" s="134" t="s">
        <v>393</v>
      </c>
      <c r="AT9" s="131" t="s">
        <v>394</v>
      </c>
      <c r="AU9" s="132" t="s">
        <v>395</v>
      </c>
      <c r="AV9" s="583" t="s">
        <v>396</v>
      </c>
      <c r="AW9" s="584" t="s">
        <v>397</v>
      </c>
      <c r="AX9" s="584" t="s">
        <v>398</v>
      </c>
      <c r="AY9" s="588" t="s">
        <v>399</v>
      </c>
      <c r="AZ9" s="585" t="s">
        <v>400</v>
      </c>
      <c r="BA9" s="585" t="s">
        <v>401</v>
      </c>
      <c r="BB9" s="585" t="s">
        <v>402</v>
      </c>
      <c r="BC9" s="585" t="s">
        <v>403</v>
      </c>
      <c r="BD9" s="585" t="s">
        <v>404</v>
      </c>
      <c r="BE9" s="585" t="s">
        <v>405</v>
      </c>
      <c r="BF9" s="585" t="s">
        <v>406</v>
      </c>
      <c r="BG9" s="584" t="s">
        <v>407</v>
      </c>
      <c r="BH9" s="586" t="s">
        <v>602</v>
      </c>
      <c r="BI9" s="587" t="s">
        <v>409</v>
      </c>
      <c r="BJ9" s="172" t="s">
        <v>410</v>
      </c>
      <c r="BK9" s="146"/>
      <c r="BL9" s="138" t="s">
        <v>411</v>
      </c>
      <c r="BM9" s="139" t="s">
        <v>412</v>
      </c>
      <c r="BN9" s="140" t="s">
        <v>413</v>
      </c>
      <c r="BO9" s="138" t="s">
        <v>414</v>
      </c>
      <c r="BP9" s="139" t="s">
        <v>415</v>
      </c>
      <c r="BQ9" s="140" t="s">
        <v>416</v>
      </c>
      <c r="BR9" s="146"/>
      <c r="BS9" s="146"/>
      <c r="BT9" s="86" t="s">
        <v>603</v>
      </c>
      <c r="BU9" s="87" t="s">
        <v>613</v>
      </c>
      <c r="BV9" s="87" t="s">
        <v>614</v>
      </c>
      <c r="BW9" s="87" t="s">
        <v>615</v>
      </c>
      <c r="BX9" s="87" t="s">
        <v>616</v>
      </c>
      <c r="BY9" s="88" t="s">
        <v>617</v>
      </c>
      <c r="BZ9" s="161" t="s">
        <v>394</v>
      </c>
      <c r="CA9" s="159" t="s">
        <v>423</v>
      </c>
      <c r="CB9" s="159" t="s">
        <v>424</v>
      </c>
      <c r="CC9" s="168" t="s">
        <v>425</v>
      </c>
      <c r="CD9" s="161" t="s">
        <v>426</v>
      </c>
      <c r="CE9" s="160" t="s">
        <v>427</v>
      </c>
      <c r="CG9" s="85" t="s">
        <v>428</v>
      </c>
      <c r="CH9" s="83" t="s">
        <v>429</v>
      </c>
      <c r="CI9" s="83" t="s">
        <v>430</v>
      </c>
      <c r="CJ9" s="83" t="s">
        <v>431</v>
      </c>
      <c r="CK9" s="84" t="s">
        <v>432</v>
      </c>
      <c r="CL9" s="82" t="s">
        <v>433</v>
      </c>
      <c r="CM9" s="83" t="s">
        <v>434</v>
      </c>
      <c r="CN9" s="83" t="s">
        <v>435</v>
      </c>
      <c r="CO9" s="83" t="s">
        <v>436</v>
      </c>
      <c r="CP9" s="83" t="s">
        <v>437</v>
      </c>
      <c r="CQ9" s="83" t="s">
        <v>438</v>
      </c>
      <c r="CR9" s="84" t="s">
        <v>5</v>
      </c>
    </row>
    <row r="10" spans="1:96" ht="24.75" customHeight="1" x14ac:dyDescent="0.25">
      <c r="A10" s="142">
        <v>46109.916666608799</v>
      </c>
      <c r="B10" s="142">
        <v>46109.95833321759</v>
      </c>
      <c r="C10" s="90">
        <f t="shared" ref="C10:C33" si="0">IF(B10="","",IF(A10="","",(B10-A10)*24))</f>
        <v>0.99999861099058762</v>
      </c>
      <c r="D10" s="258" cm="1">
        <f t="array" ref="D10">_xll.PITimeDat($D$7,A10,"","interpolated")</f>
        <v>8.0929527731701221</v>
      </c>
      <c r="E10" s="674" cm="1">
        <f t="array" ref="E10">_xll.PITimeDat($E$7,A10,"","interpolated")</f>
        <v>4.9999489175322487E-2</v>
      </c>
      <c r="F10" s="674" cm="1">
        <f t="array" ref="F10">_xll.PITimeDat($F$7,A10,"","interpolated")</f>
        <v>5.0461832860844331E-2</v>
      </c>
      <c r="G10" s="258" cm="1">
        <f t="array" ref="G10">_xll.PITimeDat($G$7,A10,"","interpolated")</f>
        <v>0</v>
      </c>
      <c r="H10" s="669">
        <f>'MPFM_Horario_29&amp;30_03'!O2</f>
        <v>103.55</v>
      </c>
      <c r="I10" s="572">
        <f>'MPFM_Horario_29&amp;30_03'!N2</f>
        <v>0</v>
      </c>
      <c r="J10" s="572">
        <f>'MPFM_Horario_29&amp;30_03'!Q2</f>
        <v>9.5000000000000001E-2</v>
      </c>
      <c r="K10" s="572">
        <f>'MPFM_Horario_29&amp;30_03'!P2</f>
        <v>103.55</v>
      </c>
      <c r="L10" s="573">
        <f>H10+I10+J10</f>
        <v>103.645</v>
      </c>
      <c r="M10" s="670">
        <v>1.00953293661294</v>
      </c>
      <c r="N10" s="235">
        <v>1</v>
      </c>
      <c r="O10" s="235">
        <v>1</v>
      </c>
      <c r="P10" s="673">
        <v>1.00953293661294</v>
      </c>
      <c r="Q10" s="234">
        <f>H10*M10</f>
        <v>104.53713558626993</v>
      </c>
      <c r="R10" s="243">
        <f>I10*N10</f>
        <v>0</v>
      </c>
      <c r="S10" s="244">
        <f>J10*O10</f>
        <v>9.5000000000000001E-2</v>
      </c>
      <c r="T10" s="672">
        <f>K10*P10</f>
        <v>104.53713558626993</v>
      </c>
      <c r="U10" s="244">
        <f>Q10+R10+S10</f>
        <v>104.63213558626992</v>
      </c>
      <c r="V10" s="394">
        <f>'MPFM_Horario_29&amp;30_03'!AR2</f>
        <v>621.29999999999995</v>
      </c>
      <c r="W10" s="239">
        <f>'MPFM_Horario_29&amp;30_03'!AS2</f>
        <v>75.62</v>
      </c>
      <c r="X10" s="237">
        <f>'MPFM_Horario_29&amp;30_03'!AU2</f>
        <v>635.03</v>
      </c>
      <c r="Y10" s="237">
        <f>'MPFM_Horario_29&amp;30_03'!AT2</f>
        <v>574.76</v>
      </c>
      <c r="Z10" s="524">
        <f>'MPFM_Horario_29&amp;30_03'!AV2</f>
        <v>997.05</v>
      </c>
      <c r="AA10" s="237">
        <f>'MPFM_Horario_29&amp;30_03'!AI2</f>
        <v>78.302000000000007</v>
      </c>
      <c r="AB10" s="243">
        <f>'MPFM_Horario_29&amp;30_03'!AH2</f>
        <v>26.231999999999999</v>
      </c>
      <c r="AC10" s="237">
        <f>'MPFM_Horario_29&amp;30_03'!AK2</f>
        <v>9.5000000000000001E-2</v>
      </c>
      <c r="AD10" s="242">
        <f>AA10+AB10</f>
        <v>104.53400000000001</v>
      </c>
      <c r="AE10" s="250">
        <f>AA10+AB10+AC10</f>
        <v>104.629</v>
      </c>
      <c r="AF10" s="243">
        <f>'MPFM_Horario_29&amp;30_03'!AD2</f>
        <v>91.055999999999997</v>
      </c>
      <c r="AG10" s="659">
        <v>30.119</v>
      </c>
      <c r="AH10" s="249">
        <f>'MPFM_Horario_29&amp;30_03'!AF2</f>
        <v>7.5999999999999998E-2</v>
      </c>
      <c r="AI10" s="109"/>
      <c r="AJ10" s="91">
        <f>SEP_29_03_OLEO!E3</f>
        <v>54.79</v>
      </c>
      <c r="AK10" s="94">
        <f>SEP_29_03_OLEO!D3</f>
        <v>88.511530000000008</v>
      </c>
      <c r="AL10" s="91">
        <f>SEP_29_03_OLEO!I3</f>
        <v>99.47</v>
      </c>
      <c r="AM10" s="167">
        <v>768.13</v>
      </c>
      <c r="AN10" s="93">
        <f>AL10*AM10/1000</f>
        <v>76.405891099999991</v>
      </c>
      <c r="AO10" s="735">
        <f>AL10*795.59/1000</f>
        <v>79.137337299999999</v>
      </c>
      <c r="AP10" s="92">
        <f>SEP_29_03_GAS!I3</f>
        <v>21.893899999999999</v>
      </c>
      <c r="AQ10" s="92">
        <f>SEP_29_03_AGUA!J3</f>
        <v>1.556</v>
      </c>
      <c r="AR10" s="92">
        <f>AN10+AP10</f>
        <v>98.299791099999993</v>
      </c>
      <c r="AS10" s="93">
        <f>AN10+AP10+AQ10</f>
        <v>99.85579109999999</v>
      </c>
      <c r="AT10" s="281">
        <f>IF(AR10=0,"",(T10/AR10-1)*100)</f>
        <v>6.3452265935384444</v>
      </c>
      <c r="AU10" s="282">
        <f>IF(AS10=0,"",(U10/AS10-1)*100)</f>
        <v>4.7832423474435171</v>
      </c>
      <c r="AV10" s="145">
        <v>72.69</v>
      </c>
      <c r="AW10" s="92">
        <v>0.84030000000000005</v>
      </c>
      <c r="AX10" s="93">
        <v>0.02</v>
      </c>
      <c r="AY10" s="545">
        <f>SEP_29_03_OLEO!J3*(1-AX10/100)</f>
        <v>97.327530600000003</v>
      </c>
      <c r="AZ10" s="153">
        <f>AY10*AW10</f>
        <v>81.78432396318</v>
      </c>
      <c r="BA10" s="727">
        <v>861.88333333333287</v>
      </c>
      <c r="BB10" s="153">
        <f>AZ10*BA10/1000</f>
        <v>70.488545751798753</v>
      </c>
      <c r="BC10" s="544">
        <f>AZ10*AV10</f>
        <v>5944.9025088835542</v>
      </c>
      <c r="BD10" s="153">
        <f>(SEP_29_03_GAS!H4+BC10)/1000</f>
        <v>29.446302508883555</v>
      </c>
      <c r="BE10" s="153">
        <f>(BD10*81.18)/100</f>
        <v>23.904508376711675</v>
      </c>
      <c r="BF10" s="544">
        <f>SEP_29_03_OLEO!J3*(AX10/100)</f>
        <v>1.9469400000000001E-2</v>
      </c>
      <c r="BG10" s="153">
        <f>SEP_29_03_AGUA!K3+'5.1 TotalHorario_Acomp28&amp;29_03'!BF10</f>
        <v>1.5784693999999999</v>
      </c>
      <c r="BH10" s="589">
        <f>(BG10*997.5)/1000</f>
        <v>1.5745232265</v>
      </c>
      <c r="BI10" s="548">
        <f>BB10+BE10</f>
        <v>94.393054128510428</v>
      </c>
      <c r="BJ10" s="546">
        <f>BI10+BH10</f>
        <v>95.967577355010434</v>
      </c>
      <c r="BK10" s="111"/>
      <c r="BL10" s="176">
        <f t="shared" ref="BL10:BL16" si="1">IF(AN10=0,"",(Q10/AN10-1))</f>
        <v>0.36818161638154012</v>
      </c>
      <c r="BM10" s="177" t="e">
        <f>(AB10-#REF!)/#REF!</f>
        <v>#REF!</v>
      </c>
      <c r="BN10" s="177">
        <f t="shared" ref="BN10:BN16" si="2">(AC10-BH10)/BH10</f>
        <v>-0.93966427525418283</v>
      </c>
      <c r="BO10" s="176">
        <f t="shared" ref="BO10:BO16" si="3">(AF10-AZ10)/AZ10</f>
        <v>0.11336739839035882</v>
      </c>
      <c r="BP10" s="177">
        <f t="shared" ref="BP10:BP16" si="4">(AG10-BD10)/BD10</f>
        <v>2.2844888281423479E-2</v>
      </c>
      <c r="BQ10" s="178">
        <f t="shared" ref="BQ10:BQ16" si="5">(AH10-BG10)/BG10</f>
        <v>-0.9518520916528378</v>
      </c>
      <c r="BR10" s="111"/>
      <c r="BS10" s="111"/>
      <c r="BT10" s="742">
        <f>IF(AL10=0,"",(AF10/AL10-1))</f>
        <v>-8.4588318085855096E-2</v>
      </c>
      <c r="BU10" s="92">
        <f>AL10-AF10</f>
        <v>8.4140000000000015</v>
      </c>
      <c r="BV10" s="743">
        <f>IF(BD10=0,"",(AG10/BD10-1))</f>
        <v>2.2844888281423392E-2</v>
      </c>
      <c r="BW10" s="92">
        <f>BD10-AG10</f>
        <v>-0.67269749111644472</v>
      </c>
      <c r="BX10" s="754">
        <f>IF(BG10=0,"",(AH10/BG10-1))</f>
        <v>-0.95185209165283791</v>
      </c>
      <c r="BY10" s="93">
        <f>BG10-AH10</f>
        <v>1.5024693999999998</v>
      </c>
      <c r="BZ10" s="577">
        <f>IF(BI10=AC116,"",(AD10/BI10-1))</f>
        <v>0.10743317890406745</v>
      </c>
      <c r="CA10" s="577">
        <f>IF(BJ10=AD116,"",(AE10/BJ10-1))</f>
        <v>9.0253634443105524E-2</v>
      </c>
      <c r="CB10" s="578">
        <f>IF(BJ10=0,"",(AE10/BJ10-1))</f>
        <v>9.0253634443105524E-2</v>
      </c>
      <c r="CC10" s="578" t="str">
        <f>IF(BK10=0,"",(AF10/BK10-1))</f>
        <v/>
      </c>
      <c r="CD10" s="169" t="str">
        <f>IF(BZ10="","",IF(ABS(BZ10)&gt;10%,"FORA","OK"))</f>
        <v>FORA</v>
      </c>
      <c r="CE10" s="170" t="str">
        <f>IF(CB10="","",IF(ABS(CB10)&gt;7%,"FORA","OK"))</f>
        <v>FORA</v>
      </c>
      <c r="CG10" s="95" t="e">
        <f>IF(Q10="","",Q10-#REF!)</f>
        <v>#REF!</v>
      </c>
      <c r="CH10" s="76" t="e">
        <f>IF(T10="","",T10-#REF!)</f>
        <v>#REF!</v>
      </c>
      <c r="CI10" s="33" t="e">
        <f>IF(S10="","",S10-#REF!)</f>
        <v>#REF!</v>
      </c>
      <c r="CJ10" s="76" t="e">
        <f t="shared" ref="CJ10:CJ30" si="6">IF(OR(CG10="",CH10=""),"",CG10+CH10)</f>
        <v>#REF!</v>
      </c>
      <c r="CK10" s="97" t="e">
        <f t="shared" ref="CK10:CK30" si="7">IF(OR(CJ10="",CI10=""),"",CJ10+CI10)</f>
        <v>#REF!</v>
      </c>
      <c r="CL10" s="98" t="e">
        <f>IF(AN10="","",AN10-#REF!)</f>
        <v>#REF!</v>
      </c>
      <c r="CM10" s="76" t="e">
        <f>IF(AP10="","",AP10-#REF!)</f>
        <v>#REF!</v>
      </c>
      <c r="CN10" s="76" t="e">
        <f>IF(AQ10="","",AQ10-#REF!)</f>
        <v>#REF!</v>
      </c>
      <c r="CO10" s="76" t="e">
        <f t="shared" ref="CO10:CO30" si="8">IF(OR(CL10="",CM10=""),"",CL10+CM10)</f>
        <v>#REF!</v>
      </c>
      <c r="CP10" s="47" t="e">
        <f>IF(OR(CO10="",CN10=""),"",CO10+CN10)</f>
        <v>#REF!</v>
      </c>
      <c r="CQ10" s="75" t="s">
        <v>12</v>
      </c>
      <c r="CR10" s="96"/>
    </row>
    <row r="11" spans="1:96" ht="24.75" customHeight="1" x14ac:dyDescent="0.25">
      <c r="A11" s="180">
        <v>46109.958333333336</v>
      </c>
      <c r="B11" s="142">
        <v>46110</v>
      </c>
      <c r="C11" s="90">
        <f t="shared" si="0"/>
        <v>0.99999999994179234</v>
      </c>
      <c r="D11" s="258" cm="1">
        <f t="array" ref="D11">_xll.PITimeDat($D$7,A11,"","interpolated")</f>
        <v>8.639492045337537</v>
      </c>
      <c r="E11" s="674" cm="1">
        <f t="array" ref="E11">_xll.PITimeDat($E$7,A11,"","interpolated")</f>
        <v>4.9998918187751977E-2</v>
      </c>
      <c r="F11" s="674" cm="1">
        <f t="array" ref="F11">_xll.PITimeDat($F$7,A11,"","interpolated")</f>
        <v>5.046196828222143E-2</v>
      </c>
      <c r="G11" s="258" cm="1">
        <f t="array" ref="G11">_xll.PITimeDat($G$7,A11,"","interpolated")</f>
        <v>0</v>
      </c>
      <c r="H11" s="669">
        <f>'MPFM_Horario_29&amp;30_03'!O3</f>
        <v>103.52</v>
      </c>
      <c r="I11" s="572">
        <f>'MPFM_Horario_29&amp;30_03'!N3</f>
        <v>0</v>
      </c>
      <c r="J11" s="572">
        <f>'MPFM_Horario_29&amp;30_03'!Q3</f>
        <v>9.4E-2</v>
      </c>
      <c r="K11" s="572">
        <f>'MPFM_Horario_29&amp;30_03'!P3</f>
        <v>103.52</v>
      </c>
      <c r="L11" s="573">
        <f t="shared" ref="L11:L32" si="9">H11+I11+J11</f>
        <v>103.61399999999999</v>
      </c>
      <c r="M11" s="670">
        <v>1.00953293661294</v>
      </c>
      <c r="N11" s="235">
        <v>1</v>
      </c>
      <c r="O11" s="235">
        <v>1</v>
      </c>
      <c r="P11" s="673">
        <v>1.00953293661294</v>
      </c>
      <c r="Q11" s="234">
        <f t="shared" ref="Q11:Q33" si="10">H11*M11</f>
        <v>104.50684959817154</v>
      </c>
      <c r="R11" s="243">
        <f t="shared" ref="R11:R33" si="11">I11*N11</f>
        <v>0</v>
      </c>
      <c r="S11" s="244">
        <f t="shared" ref="S11:S33" si="12">J11*O11</f>
        <v>9.4E-2</v>
      </c>
      <c r="T11" s="672">
        <f t="shared" ref="T11:T33" si="13">K11*P11</f>
        <v>104.50684959817154</v>
      </c>
      <c r="U11" s="244">
        <f t="shared" ref="U11:U33" si="14">Q11+R11+S11</f>
        <v>104.60084959817154</v>
      </c>
      <c r="V11" s="394">
        <f>'MPFM_Horario_29&amp;30_03'!AR3</f>
        <v>621.51</v>
      </c>
      <c r="W11" s="239">
        <f>'MPFM_Horario_29&amp;30_03'!AS3</f>
        <v>75.3</v>
      </c>
      <c r="X11" s="237">
        <f>'MPFM_Horario_29&amp;30_03'!AU3</f>
        <v>635.26</v>
      </c>
      <c r="Y11" s="237">
        <f>'MPFM_Horario_29&amp;30_03'!AT3</f>
        <v>575.02</v>
      </c>
      <c r="Z11" s="524">
        <f>'MPFM_Horario_29&amp;30_03'!AV3</f>
        <v>997.05</v>
      </c>
      <c r="AA11" s="237">
        <f>'MPFM_Horario_29&amp;30_03'!AI3</f>
        <v>78.278999999999996</v>
      </c>
      <c r="AB11" s="243">
        <f>'MPFM_Horario_29&amp;30_03'!AH3</f>
        <v>26.225000000000001</v>
      </c>
      <c r="AC11" s="237">
        <f>'MPFM_Horario_29&amp;30_03'!AK3</f>
        <v>9.4E-2</v>
      </c>
      <c r="AD11" s="242">
        <f t="shared" ref="AD11:AD33" si="15">AA11+AB11</f>
        <v>104.50399999999999</v>
      </c>
      <c r="AE11" s="250">
        <f t="shared" ref="AE11:AE33" si="16">AA11+AB11+AC11</f>
        <v>104.59799999999998</v>
      </c>
      <c r="AF11" s="243">
        <f>'MPFM_Horario_29&amp;30_03'!AD3</f>
        <v>91.03</v>
      </c>
      <c r="AG11" s="243">
        <v>30.11</v>
      </c>
      <c r="AH11" s="244">
        <f>'MPFM_Horario_29&amp;30_03'!AF3</f>
        <v>7.5999999999999998E-2</v>
      </c>
      <c r="AI11" s="109"/>
      <c r="AJ11" s="91">
        <f>SEP_29_03_OLEO!E4</f>
        <v>52.65</v>
      </c>
      <c r="AK11" s="94">
        <f>SEP_29_03_OLEO!D4</f>
        <v>88.584429999999998</v>
      </c>
      <c r="AL11" s="91">
        <f>SEP_29_03_OLEO!I4</f>
        <v>107.194</v>
      </c>
      <c r="AM11" s="167">
        <v>768.13</v>
      </c>
      <c r="AN11" s="93">
        <f t="shared" ref="AN11:AN33" si="17">AL11*AM11/1000</f>
        <v>82.338927220000002</v>
      </c>
      <c r="AO11" s="735">
        <f t="shared" ref="AO11:AO33" si="18">AL11*795.59/1000</f>
        <v>85.282474460000017</v>
      </c>
      <c r="AP11" s="92">
        <f>SEP_29_03_GAS!I4</f>
        <v>19.416699999999999</v>
      </c>
      <c r="AQ11" s="92">
        <f>SEP_29_03_AGUA!J4</f>
        <v>1.4430000000000001</v>
      </c>
      <c r="AR11" s="92">
        <f t="shared" ref="AR11:AR33" si="19">AN11+AP11</f>
        <v>101.75562722000001</v>
      </c>
      <c r="AS11" s="93">
        <f t="shared" ref="AS11:AS33" si="20">AN11+AP11+AQ11</f>
        <v>103.19862722000001</v>
      </c>
      <c r="AT11" s="281">
        <f t="shared" ref="AT11:AT33" si="21">IF(AR11=0,"",(T11/AR11-1)*100)</f>
        <v>2.7037545277208919</v>
      </c>
      <c r="AU11" s="282">
        <f t="shared" ref="AU11:AU31" si="22">IF(AS11=0,"",(U11/AS11-1)*100)</f>
        <v>1.3587606889210457</v>
      </c>
      <c r="AV11" s="145">
        <v>72.69</v>
      </c>
      <c r="AW11" s="92">
        <v>0.84030000000000005</v>
      </c>
      <c r="AX11" s="93">
        <v>0.02</v>
      </c>
      <c r="AY11" s="545">
        <f>SEP_29_03_OLEO!J4*(1-AX11/100)</f>
        <v>105.06898200000001</v>
      </c>
      <c r="AZ11" s="153">
        <f t="shared" ref="AZ11:AZ33" si="23">AY11*AW11</f>
        <v>88.289465574600015</v>
      </c>
      <c r="BA11" s="727">
        <v>861.88333333333287</v>
      </c>
      <c r="BB11" s="153">
        <f>AZ11*BA11/1000</f>
        <v>76.095218887654809</v>
      </c>
      <c r="BC11" s="544">
        <f>AZ11*AV11</f>
        <v>6417.7612526176745</v>
      </c>
      <c r="BD11" s="153">
        <f>(SEP_29_03_GAS!H5+BC11)/1000</f>
        <v>30.743361252617674</v>
      </c>
      <c r="BE11" s="153">
        <f t="shared" ref="BE11:BE32" si="24">(BD11*81.18)/100</f>
        <v>24.957460664875029</v>
      </c>
      <c r="BF11" s="544">
        <f>SEP_29_03_OLEO!J4*(AX11/100)</f>
        <v>2.1018000000000002E-2</v>
      </c>
      <c r="BG11" s="153">
        <f>SEP_29_03_AGUA!K4+'5.1 TotalHorario_Acomp28&amp;29_03'!BF11</f>
        <v>1.466018</v>
      </c>
      <c r="BH11" s="589">
        <f t="shared" ref="BH11:BH33" si="25">(BG11*997.5)/1000</f>
        <v>1.4623529550000001</v>
      </c>
      <c r="BI11" s="548">
        <f t="shared" ref="BI11:BI33" si="26">BB11+BE11</f>
        <v>101.05267955252984</v>
      </c>
      <c r="BJ11" s="546">
        <f t="shared" ref="BJ11:BJ33" si="27">BI11+BH11</f>
        <v>102.51503250752984</v>
      </c>
      <c r="BK11" s="111"/>
      <c r="BL11" s="176">
        <f t="shared" si="1"/>
        <v>0.2692277289324092</v>
      </c>
      <c r="BM11" s="177" t="e">
        <f>(AB11-#REF!)/#REF!</f>
        <v>#REF!</v>
      </c>
      <c r="BN11" s="177">
        <f t="shared" si="2"/>
        <v>-0.93572003278784355</v>
      </c>
      <c r="BO11" s="176">
        <f t="shared" si="3"/>
        <v>3.1040333153725758E-2</v>
      </c>
      <c r="BP11" s="177">
        <f t="shared" si="4"/>
        <v>-2.0601561664430786E-2</v>
      </c>
      <c r="BQ11" s="178">
        <f t="shared" si="5"/>
        <v>-0.94815889027283429</v>
      </c>
      <c r="BR11" s="111"/>
      <c r="BS11" s="111"/>
      <c r="BT11" s="742">
        <f t="shared" ref="BT11:BT74" si="28">IF(AL11=0,"",(AF11/AL11-1))</f>
        <v>-0.15079202194152663</v>
      </c>
      <c r="BU11" s="92">
        <f t="shared" ref="BU11:BU74" si="29">AL11-AF11</f>
        <v>16.164000000000001</v>
      </c>
      <c r="BV11" s="743">
        <f t="shared" ref="BV11:BV32" si="30">IF(BD11=0,"",(AG11/BD11-1))</f>
        <v>-2.0601561664430834E-2</v>
      </c>
      <c r="BW11" s="92">
        <f t="shared" ref="BW11:BW33" si="31">BD11-AG11</f>
        <v>0.63336125261767506</v>
      </c>
      <c r="BX11" s="754">
        <f t="shared" ref="BX11:BX74" si="32">IF(BG11=0,"",(AH11/BG11-1))</f>
        <v>-0.94815889027283429</v>
      </c>
      <c r="BY11" s="93">
        <f t="shared" ref="BY11:BY74" si="33">BG11-AH11</f>
        <v>1.390018</v>
      </c>
      <c r="BZ11" s="577">
        <f t="shared" ref="BZ11:BZ33" si="34">IF(BI11=AC117,"",(AD11/BI11-1))</f>
        <v>3.4153675714022613E-2</v>
      </c>
      <c r="CA11" s="435">
        <f t="shared" ref="CA11:CA15" si="35">AR11-T11</f>
        <v>-2.7512223781715335</v>
      </c>
      <c r="CB11" s="578">
        <f t="shared" ref="CB11:CB33" si="36">IF(BJ11=0,"",(AE11/BJ11-1))</f>
        <v>2.0318654167301275E-2</v>
      </c>
      <c r="CC11" s="93">
        <f t="shared" ref="CC11:CC16" si="37">AS11-U11</f>
        <v>-1.4022223781715297</v>
      </c>
      <c r="CD11" s="169" t="str">
        <f t="shared" ref="CD11:CD33" si="38">IF(BZ11="","",IF(ABS(BZ11)&gt;10%,"FORA","OK"))</f>
        <v>OK</v>
      </c>
      <c r="CE11" s="170" t="str">
        <f t="shared" ref="CE11:CE33" si="39">IF(CB11="","",IF(ABS(CB11)&gt;7%,"FORA","OK"))</f>
        <v>OK</v>
      </c>
      <c r="CG11" s="95">
        <f t="shared" ref="CG11:CG30" si="40">IF(Q11="","",Q11-Q10)</f>
        <v>-3.0285988098384564E-2</v>
      </c>
      <c r="CH11" s="76">
        <f t="shared" ref="CH11:CH27" si="41">IF(T11="","",T11-T10)</f>
        <v>-3.0285988098384564E-2</v>
      </c>
      <c r="CI11" s="33">
        <f t="shared" ref="CI11:CI30" si="42">IF(S11="","",S11-S10)</f>
        <v>-1.0000000000000009E-3</v>
      </c>
      <c r="CJ11" s="76">
        <f t="shared" si="6"/>
        <v>-6.0571976196769128E-2</v>
      </c>
      <c r="CK11" s="97">
        <f t="shared" si="7"/>
        <v>-6.1571976196769129E-2</v>
      </c>
      <c r="CL11" s="98">
        <f t="shared" ref="CL11:CL30" si="43">IF(AN11="","",AN11-AN10)</f>
        <v>5.9330361200000112</v>
      </c>
      <c r="CM11" s="76">
        <f t="shared" ref="CM11:CM30" si="44">IF(AP11="","",AP11-AP10)</f>
        <v>-2.4771999999999998</v>
      </c>
      <c r="CN11" s="76">
        <f t="shared" ref="CN11:CN30" si="45">IF(AQ11="","",AQ11-AQ10)</f>
        <v>-0.11299999999999999</v>
      </c>
      <c r="CO11" s="76">
        <f t="shared" si="8"/>
        <v>3.4558361200000114</v>
      </c>
      <c r="CP11" s="47">
        <f t="shared" ref="CP11:CP30" si="46">IF(OR(CO11="",CN11=""),"",CO11+CN11)</f>
        <v>3.3428361200000114</v>
      </c>
      <c r="CQ11" s="75" t="s">
        <v>12</v>
      </c>
      <c r="CR11" s="96"/>
    </row>
    <row r="12" spans="1:96" ht="24.75" customHeight="1" x14ac:dyDescent="0.25">
      <c r="A12" s="142">
        <v>46110.000000057873</v>
      </c>
      <c r="B12" s="142">
        <v>46110.04166678241</v>
      </c>
      <c r="C12" s="90">
        <f t="shared" si="0"/>
        <v>1.0000013888929971</v>
      </c>
      <c r="D12" s="258" cm="1">
        <f t="array" ref="D12">_xll.PITimeDat($D$7,A12,"","interpolated")</f>
        <v>9.1822886145756293</v>
      </c>
      <c r="E12" s="674" cm="1">
        <f t="array" ref="E12">_xll.PITimeDat($E$7,A12,"","interpolated")</f>
        <v>4.9993524738220316E-2</v>
      </c>
      <c r="F12" s="674" cm="1">
        <f t="array" ref="F12">_xll.PITimeDat($F$7,A12,"","interpolated")</f>
        <v>5.0461120422373613E-2</v>
      </c>
      <c r="G12" s="258" cm="1">
        <f t="array" ref="G12">_xll.PITimeDat($G$7,A12,"","interpolated")</f>
        <v>0</v>
      </c>
      <c r="H12" s="669">
        <f>'MPFM_Horario_29&amp;30_03'!O4</f>
        <v>104.11799999999999</v>
      </c>
      <c r="I12" s="572">
        <f>'MPFM_Horario_29&amp;30_03'!N4</f>
        <v>0</v>
      </c>
      <c r="J12" s="572">
        <f>'MPFM_Horario_29&amp;30_03'!Q4</f>
        <v>9.5000000000000001E-2</v>
      </c>
      <c r="K12" s="572">
        <f>'MPFM_Horario_29&amp;30_03'!P4</f>
        <v>104.11799999999999</v>
      </c>
      <c r="L12" s="573">
        <f t="shared" si="9"/>
        <v>104.21299999999999</v>
      </c>
      <c r="M12" s="670">
        <v>1.00953293661294</v>
      </c>
      <c r="N12" s="235">
        <v>1</v>
      </c>
      <c r="O12" s="235">
        <v>1</v>
      </c>
      <c r="P12" s="673">
        <v>1.00953293661294</v>
      </c>
      <c r="Q12" s="234">
        <f t="shared" si="10"/>
        <v>105.11055029426608</v>
      </c>
      <c r="R12" s="243">
        <f t="shared" si="11"/>
        <v>0</v>
      </c>
      <c r="S12" s="244">
        <f t="shared" si="12"/>
        <v>9.5000000000000001E-2</v>
      </c>
      <c r="T12" s="672">
        <f t="shared" si="13"/>
        <v>105.11055029426608</v>
      </c>
      <c r="U12" s="244">
        <f t="shared" si="14"/>
        <v>105.20555029426608</v>
      </c>
      <c r="V12" s="394">
        <f>'MPFM_Horario_29&amp;30_03'!AR4</f>
        <v>621.54999999999995</v>
      </c>
      <c r="W12" s="239">
        <f>'MPFM_Horario_29&amp;30_03'!AS4</f>
        <v>75.099999999999994</v>
      </c>
      <c r="X12" s="237">
        <f>'MPFM_Horario_29&amp;30_03'!AU4</f>
        <v>635.4</v>
      </c>
      <c r="Y12" s="237">
        <f>'MPFM_Horario_29&amp;30_03'!AT4</f>
        <v>575.17999999999995</v>
      </c>
      <c r="Z12" s="524">
        <f>'MPFM_Horario_29&amp;30_03'!AV4</f>
        <v>997.05</v>
      </c>
      <c r="AA12" s="237">
        <f>'MPFM_Horario_29&amp;30_03'!AI4</f>
        <v>78.730999999999995</v>
      </c>
      <c r="AB12" s="243">
        <f>'MPFM_Horario_29&amp;30_03'!AH4</f>
        <v>26.376000000000001</v>
      </c>
      <c r="AC12" s="237">
        <f>'MPFM_Horario_29&amp;30_03'!AK4</f>
        <v>9.5000000000000001E-2</v>
      </c>
      <c r="AD12" s="242">
        <f t="shared" si="15"/>
        <v>105.107</v>
      </c>
      <c r="AE12" s="250">
        <f t="shared" si="16"/>
        <v>105.202</v>
      </c>
      <c r="AF12" s="243">
        <f>'MPFM_Horario_29&amp;30_03'!AD4</f>
        <v>91.555000000000007</v>
      </c>
      <c r="AG12" s="243">
        <v>30.283999999999999</v>
      </c>
      <c r="AH12" s="244">
        <f>'MPFM_Horario_29&amp;30_03'!AF4</f>
        <v>7.5999999999999998E-2</v>
      </c>
      <c r="AI12" s="109"/>
      <c r="AJ12" s="91">
        <f>SEP_29_03_OLEO!E5</f>
        <v>51.4</v>
      </c>
      <c r="AK12" s="94">
        <f>SEP_29_03_OLEO!D5</f>
        <v>88.548799999999986</v>
      </c>
      <c r="AL12" s="91">
        <f>SEP_29_03_OLEO!I5</f>
        <v>108.95399999999999</v>
      </c>
      <c r="AM12" s="167">
        <v>768.13</v>
      </c>
      <c r="AN12" s="93">
        <f t="shared" si="17"/>
        <v>83.690836019999992</v>
      </c>
      <c r="AO12" s="735">
        <f t="shared" si="18"/>
        <v>86.682712859999995</v>
      </c>
      <c r="AP12" s="92">
        <f>SEP_29_03_GAS!I5</f>
        <v>20.0976</v>
      </c>
      <c r="AQ12" s="92">
        <f>SEP_29_03_AGUA!J5</f>
        <v>1.242</v>
      </c>
      <c r="AR12" s="92">
        <f t="shared" si="19"/>
        <v>103.78843601999999</v>
      </c>
      <c r="AS12" s="93">
        <f t="shared" si="20"/>
        <v>105.03043602</v>
      </c>
      <c r="AT12" s="281">
        <f t="shared" si="21"/>
        <v>1.2738550892233524</v>
      </c>
      <c r="AU12" s="282">
        <f t="shared" si="22"/>
        <v>0.16672717062007347</v>
      </c>
      <c r="AV12" s="145">
        <v>72.69</v>
      </c>
      <c r="AW12" s="92">
        <v>0.84030000000000005</v>
      </c>
      <c r="AX12" s="93">
        <v>0.02</v>
      </c>
      <c r="AY12" s="545">
        <f>SEP_29_03_OLEO!J5*(1-AX12/100)</f>
        <v>106.90061559999999</v>
      </c>
      <c r="AZ12" s="153">
        <f t="shared" si="23"/>
        <v>89.828587288679998</v>
      </c>
      <c r="BA12" s="727">
        <v>861.88333333333298</v>
      </c>
      <c r="BB12" s="153">
        <f t="shared" ref="BB12:BB33" si="47">AZ12*BA12/1000</f>
        <v>77.421762240991782</v>
      </c>
      <c r="BC12" s="544">
        <f t="shared" ref="BC12:BC33" si="48">AZ12*AV12</f>
        <v>6529.6400100141491</v>
      </c>
      <c r="BD12" s="153">
        <f>(SEP_29_03_GAS!H6+BC12)/1000</f>
        <v>31.017340010014152</v>
      </c>
      <c r="BE12" s="153">
        <f t="shared" si="24"/>
        <v>25.179876620129491</v>
      </c>
      <c r="BF12" s="544">
        <f>SEP_29_03_OLEO!J5*(AX12/100)</f>
        <v>2.1384400000000001E-2</v>
      </c>
      <c r="BG12" s="153">
        <f>SEP_29_03_AGUA!K5+'5.1 TotalHorario_Acomp28&amp;29_03'!BF12</f>
        <v>1.2653844000000001</v>
      </c>
      <c r="BH12" s="589">
        <f t="shared" si="25"/>
        <v>1.2622209390000001</v>
      </c>
      <c r="BI12" s="548">
        <f t="shared" si="26"/>
        <v>102.60163886112127</v>
      </c>
      <c r="BJ12" s="546">
        <f t="shared" si="27"/>
        <v>103.86385980012128</v>
      </c>
      <c r="BK12" s="111"/>
      <c r="BL12" s="176">
        <f t="shared" si="1"/>
        <v>0.25593858650363233</v>
      </c>
      <c r="BM12" s="177" t="e">
        <f>(AB12-#REF!)/#REF!</f>
        <v>#REF!</v>
      </c>
      <c r="BN12" s="177">
        <f t="shared" si="2"/>
        <v>-0.9247358389766025</v>
      </c>
      <c r="BO12" s="176">
        <f t="shared" si="3"/>
        <v>1.9218967629668685E-2</v>
      </c>
      <c r="BP12" s="177">
        <f t="shared" si="4"/>
        <v>-2.3642904574582783E-2</v>
      </c>
      <c r="BQ12" s="178">
        <f t="shared" si="5"/>
        <v>-0.93993919950332872</v>
      </c>
      <c r="BR12" s="111"/>
      <c r="BS12" s="111"/>
      <c r="BT12" s="742">
        <f t="shared" si="28"/>
        <v>-0.159691245846871</v>
      </c>
      <c r="BU12" s="92">
        <f t="shared" si="29"/>
        <v>17.398999999999987</v>
      </c>
      <c r="BV12" s="743">
        <f t="shared" si="30"/>
        <v>-2.3642904574582735E-2</v>
      </c>
      <c r="BW12" s="92">
        <f t="shared" si="31"/>
        <v>0.73334001001415317</v>
      </c>
      <c r="BX12" s="754">
        <f t="shared" si="32"/>
        <v>-0.93993919950332883</v>
      </c>
      <c r="BY12" s="93">
        <f t="shared" si="33"/>
        <v>1.1893844</v>
      </c>
      <c r="BZ12" s="577">
        <f t="shared" si="34"/>
        <v>2.4418334508963468E-2</v>
      </c>
      <c r="CA12" s="435">
        <f t="shared" si="35"/>
        <v>-1.3221142742660845</v>
      </c>
      <c r="CB12" s="578">
        <f t="shared" si="36"/>
        <v>1.2883597840999572E-2</v>
      </c>
      <c r="CC12" s="93">
        <f t="shared" si="37"/>
        <v>-0.17511427426607895</v>
      </c>
      <c r="CD12" s="169" t="str">
        <f t="shared" si="38"/>
        <v>OK</v>
      </c>
      <c r="CE12" s="170" t="str">
        <f t="shared" si="39"/>
        <v>OK</v>
      </c>
      <c r="CG12" s="95">
        <f t="shared" si="40"/>
        <v>0.60370069609453481</v>
      </c>
      <c r="CH12" s="76">
        <f t="shared" si="41"/>
        <v>0.60370069609453481</v>
      </c>
      <c r="CI12" s="33">
        <f t="shared" si="42"/>
        <v>1.0000000000000009E-3</v>
      </c>
      <c r="CJ12" s="76">
        <f t="shared" si="6"/>
        <v>1.2074013921890696</v>
      </c>
      <c r="CK12" s="97">
        <f t="shared" si="7"/>
        <v>1.2084013921890695</v>
      </c>
      <c r="CL12" s="98">
        <f t="shared" si="43"/>
        <v>1.3519087999999897</v>
      </c>
      <c r="CM12" s="76">
        <f t="shared" si="44"/>
        <v>0.68090000000000117</v>
      </c>
      <c r="CN12" s="76">
        <f t="shared" si="45"/>
        <v>-0.20100000000000007</v>
      </c>
      <c r="CO12" s="76">
        <f t="shared" si="8"/>
        <v>2.0328087999999909</v>
      </c>
      <c r="CP12" s="47">
        <f t="shared" si="46"/>
        <v>1.8318087999999908</v>
      </c>
      <c r="CQ12" s="75" t="s">
        <v>12</v>
      </c>
      <c r="CR12" s="96"/>
    </row>
    <row r="13" spans="1:96" ht="24.75" customHeight="1" x14ac:dyDescent="0.25">
      <c r="A13" s="180">
        <v>46110.041666435187</v>
      </c>
      <c r="B13" s="142">
        <v>46110.083333506947</v>
      </c>
      <c r="C13" s="90">
        <f t="shared" si="0"/>
        <v>1.0000097222509794</v>
      </c>
      <c r="D13" s="258" cm="1">
        <f t="array" ref="D13">_xll.PITimeDat($D$7,A13,"","interpolated")</f>
        <v>9.84299672179481</v>
      </c>
      <c r="E13" s="674" cm="1">
        <f t="array" ref="E13">_xll.PITimeDat($E$7,A13,"","interpolated")</f>
        <v>5.0004619203693312E-2</v>
      </c>
      <c r="F13" s="674" cm="1">
        <f t="array" ref="F13">_xll.PITimeDat($F$7,A13,"","interpolated")</f>
        <v>5.0462095651714105E-2</v>
      </c>
      <c r="G13" s="258" cm="1">
        <f t="array" ref="G13">_xll.PITimeDat($G$7,A13,"","interpolated")</f>
        <v>0</v>
      </c>
      <c r="H13" s="669">
        <f>'MPFM_Horario_29&amp;30_03'!O5</f>
        <v>104.21</v>
      </c>
      <c r="I13" s="572">
        <f>'MPFM_Horario_29&amp;30_03'!N5</f>
        <v>0</v>
      </c>
      <c r="J13" s="572">
        <f>'MPFM_Horario_29&amp;30_03'!Q5</f>
        <v>9.5000000000000001E-2</v>
      </c>
      <c r="K13" s="572">
        <f>'MPFM_Horario_29&amp;30_03'!P5</f>
        <v>104.21</v>
      </c>
      <c r="L13" s="573">
        <f t="shared" si="9"/>
        <v>104.30499999999999</v>
      </c>
      <c r="M13" s="670">
        <v>1.00953293661294</v>
      </c>
      <c r="N13" s="235">
        <v>1</v>
      </c>
      <c r="O13" s="235">
        <v>1</v>
      </c>
      <c r="P13" s="673">
        <v>1.00953293661294</v>
      </c>
      <c r="Q13" s="234">
        <f t="shared" si="10"/>
        <v>105.20342732443447</v>
      </c>
      <c r="R13" s="243">
        <f t="shared" si="11"/>
        <v>0</v>
      </c>
      <c r="S13" s="244">
        <f t="shared" si="12"/>
        <v>9.5000000000000001E-2</v>
      </c>
      <c r="T13" s="672">
        <f t="shared" si="13"/>
        <v>105.20342732443447</v>
      </c>
      <c r="U13" s="244">
        <f t="shared" si="14"/>
        <v>105.29842732443447</v>
      </c>
      <c r="V13" s="394">
        <f>'MPFM_Horario_29&amp;30_03'!AR5</f>
        <v>621.65</v>
      </c>
      <c r="W13" s="239">
        <f>'MPFM_Horario_29&amp;30_03'!AS5</f>
        <v>74.959999999999994</v>
      </c>
      <c r="X13" s="237">
        <f>'MPFM_Horario_29&amp;30_03'!AU5</f>
        <v>635.5</v>
      </c>
      <c r="Y13" s="237">
        <f>'MPFM_Horario_29&amp;30_03'!AT5</f>
        <v>575.29</v>
      </c>
      <c r="Z13" s="524">
        <f>'MPFM_Horario_29&amp;30_03'!AV5</f>
        <v>997.05</v>
      </c>
      <c r="AA13" s="237">
        <f>'MPFM_Horario_29&amp;30_03'!AI5</f>
        <v>78.801000000000002</v>
      </c>
      <c r="AB13" s="243">
        <f>'MPFM_Horario_29&amp;30_03'!AH5</f>
        <v>26.399000000000001</v>
      </c>
      <c r="AC13" s="237">
        <f>'MPFM_Horario_29&amp;30_03'!AK5</f>
        <v>9.5000000000000001E-2</v>
      </c>
      <c r="AD13" s="242">
        <f t="shared" si="15"/>
        <v>105.2</v>
      </c>
      <c r="AE13" s="250">
        <f t="shared" si="16"/>
        <v>105.295</v>
      </c>
      <c r="AF13" s="243">
        <f>'MPFM_Horario_29&amp;30_03'!AD5</f>
        <v>91.637</v>
      </c>
      <c r="AG13" s="243">
        <v>30.311</v>
      </c>
      <c r="AH13" s="244">
        <f>'MPFM_Horario_29&amp;30_03'!AF5</f>
        <v>7.5999999999999998E-2</v>
      </c>
      <c r="AI13" s="109"/>
      <c r="AJ13" s="91">
        <f>SEP_29_03_OLEO!E6</f>
        <v>49.96</v>
      </c>
      <c r="AK13" s="94">
        <f>SEP_29_03_OLEO!D6</f>
        <v>88.547369999999987</v>
      </c>
      <c r="AL13" s="91">
        <f>SEP_29_03_OLEO!I6</f>
        <v>108.786</v>
      </c>
      <c r="AM13" s="167">
        <v>768.13</v>
      </c>
      <c r="AN13" s="93">
        <f t="shared" si="17"/>
        <v>83.561790180000003</v>
      </c>
      <c r="AO13" s="735">
        <f t="shared" si="18"/>
        <v>86.549053740000005</v>
      </c>
      <c r="AP13" s="92">
        <f>SEP_29_03_GAS!I6</f>
        <v>20.2315</v>
      </c>
      <c r="AQ13" s="92">
        <f>SEP_29_03_AGUA!J6</f>
        <v>1.0960000000000001</v>
      </c>
      <c r="AR13" s="92">
        <f t="shared" si="19"/>
        <v>103.79329018</v>
      </c>
      <c r="AS13" s="93">
        <f t="shared" si="20"/>
        <v>104.88929018</v>
      </c>
      <c r="AT13" s="281">
        <f t="shared" si="21"/>
        <v>1.3586014490811316</v>
      </c>
      <c r="AU13" s="282">
        <f t="shared" si="22"/>
        <v>0.3900657004469732</v>
      </c>
      <c r="AV13" s="145">
        <v>72.69</v>
      </c>
      <c r="AW13" s="92">
        <v>0.84030000000000005</v>
      </c>
      <c r="AX13" s="93">
        <v>0.02</v>
      </c>
      <c r="AY13" s="545">
        <f>SEP_29_03_OLEO!J6*(1-AX13/100)</f>
        <v>106.8616234</v>
      </c>
      <c r="AZ13" s="153">
        <f t="shared" si="23"/>
        <v>89.795822143020004</v>
      </c>
      <c r="BA13" s="727">
        <v>861.88333333333298</v>
      </c>
      <c r="BB13" s="153">
        <f t="shared" si="47"/>
        <v>77.393522508033186</v>
      </c>
      <c r="BC13" s="544">
        <f t="shared" si="48"/>
        <v>6527.2583115761236</v>
      </c>
      <c r="BD13" s="153">
        <f>(SEP_29_03_GAS!H7+BC13)/1000</f>
        <v>31.014058311576122</v>
      </c>
      <c r="BE13" s="153">
        <f t="shared" si="24"/>
        <v>25.177212537337496</v>
      </c>
      <c r="BF13" s="544">
        <f>SEP_29_03_OLEO!J6*(AX13/100)</f>
        <v>2.1376599999999999E-2</v>
      </c>
      <c r="BG13" s="153">
        <f>SEP_29_03_AGUA!K6+'5.1 TotalHorario_Acomp28&amp;29_03'!BF13</f>
        <v>1.1193766000000001</v>
      </c>
      <c r="BH13" s="589">
        <f>(BG13*997.5)/1000</f>
        <v>1.1165781584999999</v>
      </c>
      <c r="BI13" s="548">
        <f t="shared" si="26"/>
        <v>102.57073504537068</v>
      </c>
      <c r="BJ13" s="546">
        <f t="shared" si="27"/>
        <v>103.68731320387069</v>
      </c>
      <c r="BK13" s="111"/>
      <c r="BL13" s="176">
        <f t="shared" si="1"/>
        <v>0.25898963028217015</v>
      </c>
      <c r="BM13" s="177" t="e">
        <f>(AB13-#REF!)/#REF!</f>
        <v>#REF!</v>
      </c>
      <c r="BN13" s="177">
        <f t="shared" si="2"/>
        <v>-0.91491862949601122</v>
      </c>
      <c r="BO13" s="176">
        <f t="shared" si="3"/>
        <v>2.050404810646432E-2</v>
      </c>
      <c r="BP13" s="177">
        <f t="shared" si="4"/>
        <v>-2.2669020110589733E-2</v>
      </c>
      <c r="BQ13" s="178">
        <f t="shared" si="5"/>
        <v>-0.93210506633781687</v>
      </c>
      <c r="BR13" s="111"/>
      <c r="BS13" s="111"/>
      <c r="BT13" s="742">
        <f t="shared" si="28"/>
        <v>-0.15763976982332284</v>
      </c>
      <c r="BU13" s="92">
        <f t="shared" si="29"/>
        <v>17.149000000000001</v>
      </c>
      <c r="BV13" s="743">
        <f t="shared" si="30"/>
        <v>-2.2669020110589688E-2</v>
      </c>
      <c r="BW13" s="92">
        <f t="shared" si="31"/>
        <v>0.70305831157612175</v>
      </c>
      <c r="BX13" s="754">
        <f t="shared" si="32"/>
        <v>-0.93210506633781698</v>
      </c>
      <c r="BY13" s="93">
        <f t="shared" si="33"/>
        <v>1.0433766</v>
      </c>
      <c r="BZ13" s="577">
        <f t="shared" si="34"/>
        <v>2.563367566261765E-2</v>
      </c>
      <c r="CA13" s="435">
        <f t="shared" si="35"/>
        <v>-1.4101371444344721</v>
      </c>
      <c r="CB13" s="578">
        <f t="shared" si="36"/>
        <v>1.550514471301101E-2</v>
      </c>
      <c r="CC13" s="93">
        <f t="shared" si="37"/>
        <v>-0.40913714443446736</v>
      </c>
      <c r="CD13" s="169" t="str">
        <f t="shared" si="38"/>
        <v>OK</v>
      </c>
      <c r="CE13" s="170" t="str">
        <f t="shared" si="39"/>
        <v>OK</v>
      </c>
      <c r="CG13" s="95">
        <f t="shared" si="40"/>
        <v>9.2877030168395436E-2</v>
      </c>
      <c r="CH13" s="76">
        <f t="shared" si="41"/>
        <v>9.2877030168395436E-2</v>
      </c>
      <c r="CI13" s="33">
        <f t="shared" si="42"/>
        <v>0</v>
      </c>
      <c r="CJ13" s="76">
        <f t="shared" si="6"/>
        <v>0.18575406033679087</v>
      </c>
      <c r="CK13" s="97">
        <f t="shared" si="7"/>
        <v>0.18575406033679087</v>
      </c>
      <c r="CL13" s="98">
        <f t="shared" si="43"/>
        <v>-0.1290458399999892</v>
      </c>
      <c r="CM13" s="76">
        <f t="shared" si="44"/>
        <v>0.13390000000000057</v>
      </c>
      <c r="CN13" s="76">
        <f t="shared" si="45"/>
        <v>-0.14599999999999991</v>
      </c>
      <c r="CO13" s="76">
        <f t="shared" si="8"/>
        <v>4.854160000011376E-3</v>
      </c>
      <c r="CP13" s="47">
        <f t="shared" si="46"/>
        <v>-0.14114583999998853</v>
      </c>
      <c r="CQ13" s="75" t="s">
        <v>12</v>
      </c>
      <c r="CR13" s="96"/>
    </row>
    <row r="14" spans="1:96" ht="24.75" customHeight="1" x14ac:dyDescent="0.25">
      <c r="A14" s="142">
        <v>46110.083332812501</v>
      </c>
      <c r="B14" s="142">
        <v>46110.125000231485</v>
      </c>
      <c r="C14" s="90">
        <f t="shared" si="0"/>
        <v>1.0000180556089617</v>
      </c>
      <c r="D14" s="258" cm="1">
        <f t="array" ref="D14">_xll.PITimeDat($D$7,A14,"","interpolated")</f>
        <v>10.550323214031229</v>
      </c>
      <c r="E14" s="674" cm="1">
        <f t="array" ref="E14">_xll.PITimeDat($E$7,A14,"","interpolated")</f>
        <v>5.0007801642320139E-2</v>
      </c>
      <c r="F14" s="674" cm="1">
        <f t="array" ref="F14">_xll.PITimeDat($F$7,A14,"","interpolated")</f>
        <v>5.0462800896006986E-2</v>
      </c>
      <c r="G14" s="258" cm="1">
        <f t="array" ref="G14">_xll.PITimeDat($G$7,A14,"","interpolated")</f>
        <v>0</v>
      </c>
      <c r="H14" s="669">
        <f>'MPFM_Horario_29&amp;30_03'!O6</f>
        <v>104.21299999999999</v>
      </c>
      <c r="I14" s="572">
        <f>'MPFM_Horario_29&amp;30_03'!N6</f>
        <v>0</v>
      </c>
      <c r="J14" s="572">
        <f>'MPFM_Horario_29&amp;30_03'!Q6</f>
        <v>9.5000000000000001E-2</v>
      </c>
      <c r="K14" s="572">
        <f>'MPFM_Horario_29&amp;30_03'!P6</f>
        <v>104.21299999999999</v>
      </c>
      <c r="L14" s="573">
        <f t="shared" si="9"/>
        <v>104.30799999999999</v>
      </c>
      <c r="M14" s="670">
        <v>1.00953293661294</v>
      </c>
      <c r="N14" s="235">
        <v>1</v>
      </c>
      <c r="O14" s="235">
        <v>1</v>
      </c>
      <c r="P14" s="673">
        <v>1.00953293661294</v>
      </c>
      <c r="Q14" s="234">
        <f t="shared" si="10"/>
        <v>105.20645592324431</v>
      </c>
      <c r="R14" s="243">
        <f t="shared" si="11"/>
        <v>0</v>
      </c>
      <c r="S14" s="244">
        <f t="shared" si="12"/>
        <v>9.5000000000000001E-2</v>
      </c>
      <c r="T14" s="672">
        <f t="shared" si="13"/>
        <v>105.20645592324431</v>
      </c>
      <c r="U14" s="244">
        <f t="shared" si="14"/>
        <v>105.3014559232443</v>
      </c>
      <c r="V14" s="394">
        <f>'MPFM_Horario_29&amp;30_03'!AR6</f>
        <v>621.75</v>
      </c>
      <c r="W14" s="239">
        <f>'MPFM_Horario_29&amp;30_03'!AS6</f>
        <v>74.849999999999994</v>
      </c>
      <c r="X14" s="237">
        <f>'MPFM_Horario_29&amp;30_03'!AU6</f>
        <v>635.58000000000004</v>
      </c>
      <c r="Y14" s="237">
        <f>'MPFM_Horario_29&amp;30_03'!AT6</f>
        <v>575.37</v>
      </c>
      <c r="Z14" s="524">
        <f>'MPFM_Horario_29&amp;30_03'!AV6</f>
        <v>997.05</v>
      </c>
      <c r="AA14" s="237">
        <f>'MPFM_Horario_29&amp;30_03'!AI6</f>
        <v>78.802999999999997</v>
      </c>
      <c r="AB14" s="243">
        <f>'MPFM_Horario_29&amp;30_03'!AH6</f>
        <v>26.4</v>
      </c>
      <c r="AC14" s="237">
        <f>'MPFM_Horario_29&amp;30_03'!AK6</f>
        <v>9.5000000000000001E-2</v>
      </c>
      <c r="AD14" s="242">
        <f t="shared" si="15"/>
        <v>105.203</v>
      </c>
      <c r="AE14" s="250">
        <f t="shared" si="16"/>
        <v>105.298</v>
      </c>
      <c r="AF14" s="243">
        <f>'MPFM_Horario_29&amp;30_03'!AD6</f>
        <v>91.638999999999996</v>
      </c>
      <c r="AG14" s="243">
        <v>30.312000000000001</v>
      </c>
      <c r="AH14" s="244">
        <f>'MPFM_Horario_29&amp;30_03'!AF6</f>
        <v>7.5999999999999998E-2</v>
      </c>
      <c r="AI14" s="109"/>
      <c r="AJ14" s="91">
        <f>SEP_29_03_OLEO!E7</f>
        <v>48.18</v>
      </c>
      <c r="AK14" s="94">
        <f>SEP_29_03_OLEO!D7</f>
        <v>88.540270000000007</v>
      </c>
      <c r="AL14" s="91">
        <f>SEP_29_03_OLEO!I7</f>
        <v>109.139</v>
      </c>
      <c r="AM14" s="167">
        <v>768.13</v>
      </c>
      <c r="AN14" s="93">
        <f t="shared" si="17"/>
        <v>83.832940069999992</v>
      </c>
      <c r="AO14" s="735">
        <f t="shared" si="18"/>
        <v>86.829897009999996</v>
      </c>
      <c r="AP14" s="92">
        <f>SEP_29_03_GAS!I7</f>
        <v>20.230799999999999</v>
      </c>
      <c r="AQ14" s="92">
        <f>SEP_29_03_AGUA!J7</f>
        <v>1.123</v>
      </c>
      <c r="AR14" s="92">
        <f t="shared" si="19"/>
        <v>104.06374006999999</v>
      </c>
      <c r="AS14" s="93">
        <f t="shared" si="20"/>
        <v>105.18674007</v>
      </c>
      <c r="AT14" s="281">
        <f t="shared" si="21"/>
        <v>1.098092238925541</v>
      </c>
      <c r="AU14" s="282">
        <f t="shared" si="22"/>
        <v>0.10905923424184838</v>
      </c>
      <c r="AV14" s="145">
        <v>72.69</v>
      </c>
      <c r="AW14" s="92">
        <v>0.84030000000000005</v>
      </c>
      <c r="AX14" s="93">
        <v>0.02</v>
      </c>
      <c r="AY14" s="545">
        <f>SEP_29_03_OLEO!J7*(1-AX14/100)</f>
        <v>107.3625232</v>
      </c>
      <c r="AZ14" s="153">
        <f t="shared" si="23"/>
        <v>90.216728244960009</v>
      </c>
      <c r="BA14" s="727">
        <v>861.88333333333298</v>
      </c>
      <c r="BB14" s="153">
        <f t="shared" si="47"/>
        <v>77.756294462193594</v>
      </c>
      <c r="BC14" s="544">
        <f t="shared" si="48"/>
        <v>6557.8539761261427</v>
      </c>
      <c r="BD14" s="153">
        <f>(SEP_29_03_GAS!H8+BC14)/1000</f>
        <v>31.00265397612614</v>
      </c>
      <c r="BE14" s="153">
        <f t="shared" si="24"/>
        <v>25.167954497819199</v>
      </c>
      <c r="BF14" s="544">
        <f>SEP_29_03_OLEO!J7*(AX14/100)</f>
        <v>2.1476800000000001E-2</v>
      </c>
      <c r="BG14" s="153">
        <f>SEP_29_03_AGUA!K7+'5.1 TotalHorario_Acomp28&amp;29_03'!BF14</f>
        <v>1.1464768000000001</v>
      </c>
      <c r="BH14" s="589">
        <f t="shared" si="25"/>
        <v>1.1436106080000001</v>
      </c>
      <c r="BI14" s="548">
        <f t="shared" si="26"/>
        <v>102.92424896001279</v>
      </c>
      <c r="BJ14" s="546">
        <f t="shared" si="27"/>
        <v>104.06785956801279</v>
      </c>
      <c r="BK14" s="111"/>
      <c r="BL14" s="176">
        <f t="shared" si="1"/>
        <v>0.25495367137783265</v>
      </c>
      <c r="BM14" s="177" t="e">
        <f>(AB14-#REF!)/#REF!</f>
        <v>#REF!</v>
      </c>
      <c r="BN14" s="177">
        <f t="shared" si="2"/>
        <v>-0.91692976670954418</v>
      </c>
      <c r="BO14" s="176">
        <f t="shared" si="3"/>
        <v>1.5765055801826224E-2</v>
      </c>
      <c r="BP14" s="177">
        <f t="shared" si="4"/>
        <v>-2.227725331702193E-2</v>
      </c>
      <c r="BQ14" s="178">
        <f t="shared" si="5"/>
        <v>-0.93370995383421618</v>
      </c>
      <c r="BR14" s="111"/>
      <c r="BS14" s="111"/>
      <c r="BT14" s="742">
        <f t="shared" si="28"/>
        <v>-0.16034598081345808</v>
      </c>
      <c r="BU14" s="92">
        <f t="shared" si="29"/>
        <v>17.5</v>
      </c>
      <c r="BV14" s="743">
        <f t="shared" si="30"/>
        <v>-2.2277253317021906E-2</v>
      </c>
      <c r="BW14" s="92">
        <f t="shared" si="31"/>
        <v>0.69065397612613921</v>
      </c>
      <c r="BX14" s="754">
        <f t="shared" si="32"/>
        <v>-0.93370995383421629</v>
      </c>
      <c r="BY14" s="93">
        <f t="shared" si="33"/>
        <v>1.0704768</v>
      </c>
      <c r="BZ14" s="577">
        <f t="shared" si="34"/>
        <v>2.2140079359457276E-2</v>
      </c>
      <c r="CA14" s="435">
        <f t="shared" si="35"/>
        <v>-1.1427158532443116</v>
      </c>
      <c r="CB14" s="578">
        <f t="shared" si="36"/>
        <v>1.1820560517853851E-2</v>
      </c>
      <c r="CC14" s="93">
        <f t="shared" si="37"/>
        <v>-0.11471585324430578</v>
      </c>
      <c r="CD14" s="169" t="str">
        <f t="shared" si="38"/>
        <v>OK</v>
      </c>
      <c r="CE14" s="170" t="str">
        <f t="shared" si="39"/>
        <v>OK</v>
      </c>
      <c r="CG14" s="95">
        <f t="shared" si="40"/>
        <v>3.0285988098341932E-3</v>
      </c>
      <c r="CH14" s="76">
        <f t="shared" si="41"/>
        <v>3.0285988098341932E-3</v>
      </c>
      <c r="CI14" s="33">
        <f t="shared" si="42"/>
        <v>0</v>
      </c>
      <c r="CJ14" s="76">
        <f t="shared" si="6"/>
        <v>6.0571976196683863E-3</v>
      </c>
      <c r="CK14" s="97">
        <f t="shared" si="7"/>
        <v>6.0571976196683863E-3</v>
      </c>
      <c r="CL14" s="98">
        <f t="shared" si="43"/>
        <v>0.27114988999998957</v>
      </c>
      <c r="CM14" s="76">
        <f t="shared" si="44"/>
        <v>-7.0000000000192131E-4</v>
      </c>
      <c r="CN14" s="76">
        <f t="shared" si="45"/>
        <v>2.6999999999999913E-2</v>
      </c>
      <c r="CO14" s="76">
        <f t="shared" si="8"/>
        <v>0.27044988999998765</v>
      </c>
      <c r="CP14" s="47">
        <f t="shared" si="46"/>
        <v>0.29744988999998756</v>
      </c>
      <c r="CQ14" s="75" t="s">
        <v>12</v>
      </c>
      <c r="CR14" s="96"/>
    </row>
    <row r="15" spans="1:96" ht="24.75" customHeight="1" x14ac:dyDescent="0.25">
      <c r="A15" s="180">
        <v>46110.124999189815</v>
      </c>
      <c r="B15" s="142">
        <v>46110.166666956022</v>
      </c>
      <c r="C15" s="90">
        <f t="shared" si="0"/>
        <v>1.0000263889669441</v>
      </c>
      <c r="D15" s="258" cm="1">
        <f t="array" ref="D15">_xll.PITimeDat($D$7,A15,"","interpolated")</f>
        <v>11.00808988366505</v>
      </c>
      <c r="E15" s="674" cm="1">
        <f t="array" ref="E15">_xll.PITimeDat($E$7,A15,"","interpolated")</f>
        <v>5.0027495505548303E-2</v>
      </c>
      <c r="F15" s="674" cm="1">
        <f t="array" ref="F15">_xll.PITimeDat($F$7,A15,"","interpolated")</f>
        <v>5.0465636241709827E-2</v>
      </c>
      <c r="G15" s="258" cm="1">
        <f t="array" ref="G15">_xll.PITimeDat($G$7,A15,"","interpolated")</f>
        <v>0</v>
      </c>
      <c r="H15" s="669">
        <f>'MPFM_Horario_29&amp;30_03'!O7</f>
        <v>104.559</v>
      </c>
      <c r="I15" s="572">
        <f>'MPFM_Horario_29&amp;30_03'!N7</f>
        <v>0</v>
      </c>
      <c r="J15" s="572">
        <f>'MPFM_Horario_29&amp;30_03'!Q7</f>
        <v>9.5000000000000001E-2</v>
      </c>
      <c r="K15" s="572">
        <f>'MPFM_Horario_29&amp;30_03'!P7</f>
        <v>104.559</v>
      </c>
      <c r="L15" s="573">
        <f t="shared" si="9"/>
        <v>104.654</v>
      </c>
      <c r="M15" s="670">
        <v>1.00953293661294</v>
      </c>
      <c r="N15" s="235">
        <v>1</v>
      </c>
      <c r="O15" s="235">
        <v>1</v>
      </c>
      <c r="P15" s="673">
        <v>1.00953293661294</v>
      </c>
      <c r="Q15" s="234">
        <f t="shared" si="10"/>
        <v>105.55575431931238</v>
      </c>
      <c r="R15" s="243">
        <f t="shared" si="11"/>
        <v>0</v>
      </c>
      <c r="S15" s="244">
        <f t="shared" si="12"/>
        <v>9.5000000000000001E-2</v>
      </c>
      <c r="T15" s="672">
        <f t="shared" si="13"/>
        <v>105.55575431931238</v>
      </c>
      <c r="U15" s="244">
        <f t="shared" si="14"/>
        <v>105.65075431931238</v>
      </c>
      <c r="V15" s="394">
        <f>'MPFM_Horario_29&amp;30_03'!AR7</f>
        <v>621.79999999999995</v>
      </c>
      <c r="W15" s="239">
        <f>'MPFM_Horario_29&amp;30_03'!AS7</f>
        <v>74.78</v>
      </c>
      <c r="X15" s="237">
        <f>'MPFM_Horario_29&amp;30_03'!AU7</f>
        <v>635.63</v>
      </c>
      <c r="Y15" s="237">
        <f>'MPFM_Horario_29&amp;30_03'!AT7</f>
        <v>575.42999999999995</v>
      </c>
      <c r="Z15" s="524">
        <f>'MPFM_Horario_29&amp;30_03'!AV7</f>
        <v>997.05</v>
      </c>
      <c r="AA15" s="237">
        <f>'MPFM_Horario_29&amp;30_03'!AI7</f>
        <v>79.064999999999998</v>
      </c>
      <c r="AB15" s="243">
        <f>'MPFM_Horario_29&amp;30_03'!AH7</f>
        <v>26.488</v>
      </c>
      <c r="AC15" s="237">
        <f>'MPFM_Horario_29&amp;30_03'!AK7</f>
        <v>9.5000000000000001E-2</v>
      </c>
      <c r="AD15" s="242">
        <f t="shared" si="15"/>
        <v>105.553</v>
      </c>
      <c r="AE15" s="250">
        <f t="shared" si="16"/>
        <v>105.648</v>
      </c>
      <c r="AF15" s="243">
        <f>'MPFM_Horario_29&amp;30_03'!AD7</f>
        <v>91.942999999999998</v>
      </c>
      <c r="AG15" s="243">
        <v>30.413</v>
      </c>
      <c r="AH15" s="244">
        <f>'MPFM_Horario_29&amp;30_03'!AF7</f>
        <v>7.6999999999999999E-2</v>
      </c>
      <c r="AI15" s="109"/>
      <c r="AJ15" s="91">
        <f>SEP_29_03_OLEO!E8</f>
        <v>46.33</v>
      </c>
      <c r="AK15" s="94">
        <f>SEP_29_03_OLEO!D8</f>
        <v>88.543179999999992</v>
      </c>
      <c r="AL15" s="91">
        <f>SEP_29_03_OLEO!I8</f>
        <v>109.639</v>
      </c>
      <c r="AM15" s="167">
        <v>768.13</v>
      </c>
      <c r="AN15" s="93">
        <f t="shared" si="17"/>
        <v>84.217005069999999</v>
      </c>
      <c r="AO15" s="735">
        <f t="shared" si="18"/>
        <v>87.227692009999998</v>
      </c>
      <c r="AP15" s="92">
        <f>SEP_29_03_GAS!I8</f>
        <v>20.196200000000001</v>
      </c>
      <c r="AQ15" s="92">
        <f>SEP_29_03_AGUA!J8</f>
        <v>1.0580000000000001</v>
      </c>
      <c r="AR15" s="92">
        <f t="shared" si="19"/>
        <v>104.41320507</v>
      </c>
      <c r="AS15" s="93">
        <f t="shared" si="20"/>
        <v>105.47120507000001</v>
      </c>
      <c r="AT15" s="281">
        <f t="shared" si="21"/>
        <v>1.0942574251469495</v>
      </c>
      <c r="AU15" s="282">
        <f t="shared" si="22"/>
        <v>0.17023532554996113</v>
      </c>
      <c r="AV15" s="145">
        <v>72.69</v>
      </c>
      <c r="AW15" s="92">
        <v>0.84030000000000005</v>
      </c>
      <c r="AX15" s="93">
        <v>0.02</v>
      </c>
      <c r="AY15" s="545">
        <f>SEP_29_03_OLEO!J8*(1-AX15/100)</f>
        <v>108.0163924</v>
      </c>
      <c r="AZ15" s="153">
        <f t="shared" si="23"/>
        <v>90.766174533720005</v>
      </c>
      <c r="BA15" s="727">
        <v>861.88333333333298</v>
      </c>
      <c r="BB15" s="153">
        <f t="shared" si="47"/>
        <v>78.229853061037673</v>
      </c>
      <c r="BC15" s="544">
        <f t="shared" si="48"/>
        <v>6597.7932268561071</v>
      </c>
      <c r="BD15" s="153">
        <f>(SEP_29_03_GAS!H9+BC15)/1000</f>
        <v>31.15359322685611</v>
      </c>
      <c r="BE15" s="153">
        <f t="shared" si="24"/>
        <v>25.290486981561795</v>
      </c>
      <c r="BF15" s="544">
        <f>SEP_29_03_OLEO!J8*(AX15/100)</f>
        <v>2.1607600000000001E-2</v>
      </c>
      <c r="BG15" s="153">
        <f>SEP_29_03_AGUA!K8+'5.1 TotalHorario_Acomp28&amp;29_03'!BF15</f>
        <v>1.0816076000000001</v>
      </c>
      <c r="BH15" s="589">
        <f t="shared" si="25"/>
        <v>1.0789035810000001</v>
      </c>
      <c r="BI15" s="548">
        <f t="shared" si="26"/>
        <v>103.52034004259947</v>
      </c>
      <c r="BJ15" s="546">
        <f t="shared" si="27"/>
        <v>104.59924362359948</v>
      </c>
      <c r="BK15" s="111"/>
      <c r="BL15" s="176">
        <f t="shared" si="1"/>
        <v>0.25337815363507543</v>
      </c>
      <c r="BM15" s="177" t="e">
        <f>(AB15-#REF!)/#REF!</f>
        <v>#REF!</v>
      </c>
      <c r="BN15" s="177">
        <f t="shared" si="2"/>
        <v>-0.91194764604270973</v>
      </c>
      <c r="BO15" s="176">
        <f t="shared" si="3"/>
        <v>1.296546287563103E-2</v>
      </c>
      <c r="BP15" s="177">
        <f t="shared" si="4"/>
        <v>-2.3772321268471768E-2</v>
      </c>
      <c r="BQ15" s="178">
        <f t="shared" si="5"/>
        <v>-0.92880967182553087</v>
      </c>
      <c r="BR15" s="111"/>
      <c r="BS15" s="111"/>
      <c r="BT15" s="742">
        <f t="shared" si="28"/>
        <v>-0.16140242067147637</v>
      </c>
      <c r="BU15" s="92">
        <f t="shared" si="29"/>
        <v>17.695999999999998</v>
      </c>
      <c r="BV15" s="743">
        <f t="shared" si="30"/>
        <v>-2.377232126847173E-2</v>
      </c>
      <c r="BW15" s="92">
        <f t="shared" si="31"/>
        <v>0.74059322685610951</v>
      </c>
      <c r="BX15" s="754">
        <f t="shared" si="32"/>
        <v>-0.92880967182553076</v>
      </c>
      <c r="BY15" s="93">
        <f t="shared" si="33"/>
        <v>1.0046076000000002</v>
      </c>
      <c r="BZ15" s="577">
        <f t="shared" si="34"/>
        <v>1.9635367856829511E-2</v>
      </c>
      <c r="CA15" s="435">
        <f t="shared" si="35"/>
        <v>-1.1425492493123812</v>
      </c>
      <c r="CB15" s="578">
        <f t="shared" si="36"/>
        <v>1.002642409322263E-2</v>
      </c>
      <c r="CC15" s="93">
        <f t="shared" si="37"/>
        <v>-0.17954924931237315</v>
      </c>
      <c r="CD15" s="169" t="str">
        <f t="shared" si="38"/>
        <v>OK</v>
      </c>
      <c r="CE15" s="170" t="str">
        <f t="shared" si="39"/>
        <v>OK</v>
      </c>
      <c r="CG15" s="95">
        <f t="shared" si="40"/>
        <v>0.34929839606807889</v>
      </c>
      <c r="CH15" s="76">
        <f t="shared" si="41"/>
        <v>0.34929839606807889</v>
      </c>
      <c r="CI15" s="33">
        <f t="shared" si="42"/>
        <v>0</v>
      </c>
      <c r="CJ15" s="76">
        <f t="shared" si="6"/>
        <v>0.69859679213615777</v>
      </c>
      <c r="CK15" s="97">
        <f t="shared" si="7"/>
        <v>0.69859679213615777</v>
      </c>
      <c r="CL15" s="98">
        <f t="shared" si="43"/>
        <v>0.38406500000000676</v>
      </c>
      <c r="CM15" s="76">
        <f t="shared" si="44"/>
        <v>-3.4599999999997522E-2</v>
      </c>
      <c r="CN15" s="76">
        <f t="shared" si="45"/>
        <v>-6.4999999999999947E-2</v>
      </c>
      <c r="CO15" s="76">
        <f t="shared" si="8"/>
        <v>0.34946500000000924</v>
      </c>
      <c r="CP15" s="47">
        <f t="shared" si="46"/>
        <v>0.28446500000000929</v>
      </c>
      <c r="CQ15" s="75" t="s">
        <v>12</v>
      </c>
      <c r="CR15" s="96"/>
    </row>
    <row r="16" spans="1:96" ht="24.75" customHeight="1" x14ac:dyDescent="0.25">
      <c r="A16" s="142">
        <v>46110.166665567129</v>
      </c>
      <c r="B16" s="142">
        <v>46110.208333680559</v>
      </c>
      <c r="C16" s="90">
        <f t="shared" si="0"/>
        <v>1.0000347223249264</v>
      </c>
      <c r="D16" s="258" cm="1">
        <f t="array" ref="D16">_xll.PITimeDat($D$7,A16,"","interpolated")</f>
        <v>11.706401471429258</v>
      </c>
      <c r="E16" s="674" cm="1">
        <f t="array" ref="E16">_xll.PITimeDat($E$7,A16,"","interpolated")</f>
        <v>5.0009655004185923E-2</v>
      </c>
      <c r="F16" s="674" cm="1">
        <f t="array" ref="F16">_xll.PITimeDat($F$7,A16,"","interpolated")</f>
        <v>5.0463041221831838E-2</v>
      </c>
      <c r="G16" s="258" cm="1">
        <f t="array" ref="G16">_xll.PITimeDat($G$7,A16,"","interpolated")</f>
        <v>0</v>
      </c>
      <c r="H16" s="669">
        <f>'MPFM_Horario_29&amp;30_03'!O8</f>
        <v>104.646</v>
      </c>
      <c r="I16" s="572">
        <f>'MPFM_Horario_29&amp;30_03'!N8</f>
        <v>0</v>
      </c>
      <c r="J16" s="572">
        <f>'MPFM_Horario_29&amp;30_03'!Q8</f>
        <v>9.6000000000000002E-2</v>
      </c>
      <c r="K16" s="572">
        <f>'MPFM_Horario_29&amp;30_03'!P8</f>
        <v>104.646</v>
      </c>
      <c r="L16" s="573">
        <f t="shared" si="9"/>
        <v>104.742</v>
      </c>
      <c r="M16" s="670">
        <v>1.00953293661294</v>
      </c>
      <c r="N16" s="235">
        <v>1</v>
      </c>
      <c r="O16" s="235">
        <v>1</v>
      </c>
      <c r="P16" s="673">
        <v>1.00953293661294</v>
      </c>
      <c r="Q16" s="234">
        <f t="shared" si="10"/>
        <v>105.64358368479772</v>
      </c>
      <c r="R16" s="243">
        <f t="shared" si="11"/>
        <v>0</v>
      </c>
      <c r="S16" s="244">
        <f t="shared" si="12"/>
        <v>9.6000000000000002E-2</v>
      </c>
      <c r="T16" s="672">
        <f t="shared" si="13"/>
        <v>105.64358368479772</v>
      </c>
      <c r="U16" s="244">
        <f t="shared" si="14"/>
        <v>105.73958368479772</v>
      </c>
      <c r="V16" s="394">
        <f>'MPFM_Horario_29&amp;30_03'!AR8</f>
        <v>621.85</v>
      </c>
      <c r="W16" s="239">
        <f>'MPFM_Horario_29&amp;30_03'!AS8</f>
        <v>74.73</v>
      </c>
      <c r="X16" s="237">
        <f>'MPFM_Horario_29&amp;30_03'!AU8</f>
        <v>635.66999999999996</v>
      </c>
      <c r="Y16" s="237">
        <f>'MPFM_Horario_29&amp;30_03'!AT8</f>
        <v>575.47</v>
      </c>
      <c r="Z16" s="524">
        <f>'MPFM_Horario_29&amp;30_03'!AV8</f>
        <v>997.05</v>
      </c>
      <c r="AA16" s="237">
        <f>'MPFM_Horario_29&amp;30_03'!AI8</f>
        <v>79.131</v>
      </c>
      <c r="AB16" s="243">
        <f>'MPFM_Horario_29&amp;30_03'!AH8</f>
        <v>26.51</v>
      </c>
      <c r="AC16" s="237">
        <f>'MPFM_Horario_29&amp;30_03'!AK8</f>
        <v>9.6000000000000002E-2</v>
      </c>
      <c r="AD16" s="242">
        <f t="shared" si="15"/>
        <v>105.64100000000001</v>
      </c>
      <c r="AE16" s="250">
        <f t="shared" si="16"/>
        <v>105.73700000000001</v>
      </c>
      <c r="AF16" s="243">
        <f>'MPFM_Horario_29&amp;30_03'!AD8</f>
        <v>92.02</v>
      </c>
      <c r="AG16" s="243">
        <v>30.437999999999999</v>
      </c>
      <c r="AH16" s="244">
        <f>'MPFM_Horario_29&amp;30_03'!AF8</f>
        <v>7.6999999999999999E-2</v>
      </c>
      <c r="AI16" s="109"/>
      <c r="AJ16" s="91">
        <f>SEP_29_03_OLEO!E9</f>
        <v>44.85</v>
      </c>
      <c r="AK16" s="94">
        <f>SEP_29_03_OLEO!D9</f>
        <v>88.542209999999997</v>
      </c>
      <c r="AL16" s="91">
        <f>SEP_29_03_OLEO!I9</f>
        <v>109.79</v>
      </c>
      <c r="AM16" s="167">
        <v>768.13</v>
      </c>
      <c r="AN16" s="93">
        <f t="shared" si="17"/>
        <v>84.332992700000005</v>
      </c>
      <c r="AO16" s="735">
        <f t="shared" si="18"/>
        <v>87.347826100000006</v>
      </c>
      <c r="AP16" s="92">
        <f>SEP_29_03_GAS!I9</f>
        <v>20.287800000000001</v>
      </c>
      <c r="AQ16" s="92">
        <f>SEP_29_03_AGUA!J9</f>
        <v>0.99299999999999999</v>
      </c>
      <c r="AR16" s="92">
        <f t="shared" si="19"/>
        <v>104.62079270000001</v>
      </c>
      <c r="AS16" s="93">
        <f t="shared" si="20"/>
        <v>105.6137927</v>
      </c>
      <c r="AT16" s="281">
        <f t="shared" si="21"/>
        <v>0.97761731526022633</v>
      </c>
      <c r="AU16" s="282">
        <f t="shared" si="22"/>
        <v>0.11910469417097946</v>
      </c>
      <c r="AV16" s="145">
        <v>72.69</v>
      </c>
      <c r="AW16" s="92">
        <v>0.84030000000000005</v>
      </c>
      <c r="AX16" s="93">
        <v>0.02</v>
      </c>
      <c r="AY16" s="545">
        <f>SEP_29_03_OLEO!J9*(1-AX16/100)</f>
        <v>108.29433680000001</v>
      </c>
      <c r="AZ16" s="153">
        <f t="shared" si="23"/>
        <v>90.999731213040008</v>
      </c>
      <c r="BA16" s="727">
        <v>861.88333333333298</v>
      </c>
      <c r="BB16" s="153">
        <f t="shared" si="47"/>
        <v>78.43115167033227</v>
      </c>
      <c r="BC16" s="544">
        <f t="shared" si="48"/>
        <v>6614.770461875878</v>
      </c>
      <c r="BD16" s="153">
        <f>(SEP_29_03_GAS!H10+BC16)/1000</f>
        <v>31.228970461875878</v>
      </c>
      <c r="BE16" s="153">
        <f t="shared" si="24"/>
        <v>25.351678220950838</v>
      </c>
      <c r="BF16" s="544">
        <f>SEP_29_03_OLEO!J9*(AX16/100)</f>
        <v>2.1663200000000001E-2</v>
      </c>
      <c r="BG16" s="153">
        <f>SEP_29_03_AGUA!K9+'5.1 TotalHorario_Acomp28&amp;29_03'!BF16</f>
        <v>1.0166632</v>
      </c>
      <c r="BH16" s="589">
        <f t="shared" si="25"/>
        <v>1.014121542</v>
      </c>
      <c r="BI16" s="548">
        <f t="shared" si="26"/>
        <v>103.78282989128311</v>
      </c>
      <c r="BJ16" s="546">
        <f t="shared" si="27"/>
        <v>104.79695143328311</v>
      </c>
      <c r="BK16" s="111"/>
      <c r="BL16" s="176">
        <f t="shared" si="1"/>
        <v>0.25269577543164456</v>
      </c>
      <c r="BM16" s="177" t="e">
        <f>(AB16-#REF!)/#REF!</f>
        <v>#REF!</v>
      </c>
      <c r="BN16" s="177">
        <f t="shared" si="2"/>
        <v>-0.90533679048896487</v>
      </c>
      <c r="BO16" s="176">
        <f t="shared" si="3"/>
        <v>1.1211778027909019E-2</v>
      </c>
      <c r="BP16" s="177">
        <f t="shared" si="4"/>
        <v>-2.5328099203317991E-2</v>
      </c>
      <c r="BQ16" s="178">
        <f t="shared" si="5"/>
        <v>-0.92426203682792885</v>
      </c>
      <c r="BR16" s="111"/>
      <c r="BS16" s="111"/>
      <c r="BT16" s="742">
        <f t="shared" si="28"/>
        <v>-0.16185444940340654</v>
      </c>
      <c r="BU16" s="92">
        <f t="shared" si="29"/>
        <v>17.77000000000001</v>
      </c>
      <c r="BV16" s="743">
        <f t="shared" si="30"/>
        <v>-2.5328099203318022E-2</v>
      </c>
      <c r="BW16" s="92">
        <f t="shared" si="31"/>
        <v>0.79097046187587949</v>
      </c>
      <c r="BX16" s="754">
        <f t="shared" si="32"/>
        <v>-0.92426203682792885</v>
      </c>
      <c r="BY16" s="93">
        <f t="shared" si="33"/>
        <v>0.93966320000000003</v>
      </c>
      <c r="BZ16" s="577">
        <f t="shared" si="34"/>
        <v>1.7904407797160626E-2</v>
      </c>
      <c r="CA16" s="435">
        <f>AR16-T16</f>
        <v>-1.0227909847977088</v>
      </c>
      <c r="CB16" s="578">
        <f t="shared" si="36"/>
        <v>8.970190008965595E-3</v>
      </c>
      <c r="CC16" s="93">
        <f t="shared" si="37"/>
        <v>-0.12579098479771744</v>
      </c>
      <c r="CD16" s="169" t="str">
        <f t="shared" si="38"/>
        <v>OK</v>
      </c>
      <c r="CE16" s="170" t="str">
        <f t="shared" si="39"/>
        <v>OK</v>
      </c>
      <c r="CG16" s="95">
        <f t="shared" si="40"/>
        <v>8.782936548533371E-2</v>
      </c>
      <c r="CH16" s="76">
        <f t="shared" si="41"/>
        <v>8.782936548533371E-2</v>
      </c>
      <c r="CI16" s="33">
        <f t="shared" si="42"/>
        <v>1.0000000000000009E-3</v>
      </c>
      <c r="CJ16" s="76">
        <f t="shared" si="6"/>
        <v>0.17565873097066742</v>
      </c>
      <c r="CK16" s="97">
        <f t="shared" si="7"/>
        <v>0.17665873097066742</v>
      </c>
      <c r="CL16" s="98">
        <f t="shared" si="43"/>
        <v>0.11598763000000645</v>
      </c>
      <c r="CM16" s="76">
        <f t="shared" si="44"/>
        <v>9.1599999999999682E-2</v>
      </c>
      <c r="CN16" s="76">
        <f t="shared" si="45"/>
        <v>-6.5000000000000058E-2</v>
      </c>
      <c r="CO16" s="76">
        <f t="shared" si="8"/>
        <v>0.20758763000000613</v>
      </c>
      <c r="CP16" s="47">
        <f t="shared" si="46"/>
        <v>0.14258763000000607</v>
      </c>
      <c r="CQ16" s="75" t="s">
        <v>12</v>
      </c>
      <c r="CR16" s="96"/>
    </row>
    <row r="17" spans="1:96" ht="24.75" customHeight="1" x14ac:dyDescent="0.25">
      <c r="A17" s="180">
        <v>46110.208331944443</v>
      </c>
      <c r="B17" s="142">
        <v>46110.250000405096</v>
      </c>
      <c r="C17" s="90">
        <f t="shared" si="0"/>
        <v>1.0000430556829087</v>
      </c>
      <c r="D17" s="258" cm="1">
        <f t="array" ref="D17">_xll.PITimeDat($D$7,A17,"","interpolated")</f>
        <v>12.729543708214909</v>
      </c>
      <c r="E17" s="674" cm="1">
        <f t="array" ref="E17">_xll.PITimeDat($E$7,A17,"","interpolated")</f>
        <v>4.9994825047689803E-2</v>
      </c>
      <c r="F17" s="674" cm="1">
        <f t="array" ref="F17">_xll.PITimeDat($F$7,A17,"","interpolated")</f>
        <v>5.0460883514659376E-2</v>
      </c>
      <c r="G17" s="258" cm="1">
        <f t="array" ref="G17">_xll.PITimeDat($G$7,A17,"","interpolated")</f>
        <v>4.3341764595531976E-2</v>
      </c>
      <c r="H17" s="669">
        <f>'MPFM_Horario_29&amp;30_03'!O9</f>
        <v>104.627</v>
      </c>
      <c r="I17" s="572">
        <f>'MPFM_Horario_29&amp;30_03'!N9</f>
        <v>0</v>
      </c>
      <c r="J17" s="572">
        <f>'MPFM_Horario_29&amp;30_03'!Q9</f>
        <v>9.5000000000000001E-2</v>
      </c>
      <c r="K17" s="572">
        <f>'MPFM_Horario_29&amp;30_03'!P9</f>
        <v>104.627</v>
      </c>
      <c r="L17" s="573">
        <f t="shared" si="9"/>
        <v>104.72199999999999</v>
      </c>
      <c r="M17" s="670">
        <v>1.00953293661294</v>
      </c>
      <c r="N17" s="235">
        <v>1</v>
      </c>
      <c r="O17" s="235">
        <v>1</v>
      </c>
      <c r="P17" s="673">
        <v>1.00953293661294</v>
      </c>
      <c r="Q17" s="234">
        <f t="shared" si="10"/>
        <v>105.62440255900206</v>
      </c>
      <c r="R17" s="243">
        <f t="shared" si="11"/>
        <v>0</v>
      </c>
      <c r="S17" s="244">
        <f t="shared" si="12"/>
        <v>9.5000000000000001E-2</v>
      </c>
      <c r="T17" s="672">
        <f t="shared" si="13"/>
        <v>105.62440255900206</v>
      </c>
      <c r="U17" s="244">
        <f t="shared" si="14"/>
        <v>105.71940255900206</v>
      </c>
      <c r="V17" s="394">
        <f>'MPFM_Horario_29&amp;30_03'!AR9</f>
        <v>621.92999999999995</v>
      </c>
      <c r="W17" s="239">
        <f>'MPFM_Horario_29&amp;30_03'!AS9</f>
        <v>74.680000000000007</v>
      </c>
      <c r="X17" s="237">
        <f>'MPFM_Horario_29&amp;30_03'!AU9</f>
        <v>635.71</v>
      </c>
      <c r="Y17" s="237">
        <f>'MPFM_Horario_29&amp;30_03'!AT9</f>
        <v>575.51</v>
      </c>
      <c r="Z17" s="524">
        <f>'MPFM_Horario_29&amp;30_03'!AV9</f>
        <v>997.05</v>
      </c>
      <c r="AA17" s="237">
        <f>'MPFM_Horario_29&amp;30_03'!AI9</f>
        <v>79.116</v>
      </c>
      <c r="AB17" s="243">
        <f>'MPFM_Horario_29&amp;30_03'!AH9</f>
        <v>26.504999999999999</v>
      </c>
      <c r="AC17" s="237">
        <f>'MPFM_Horario_29&amp;30_03'!AK9</f>
        <v>9.5000000000000001E-2</v>
      </c>
      <c r="AD17" s="242">
        <f t="shared" si="15"/>
        <v>105.621</v>
      </c>
      <c r="AE17" s="250">
        <f t="shared" si="16"/>
        <v>105.71599999999999</v>
      </c>
      <c r="AF17" s="243">
        <f>'MPFM_Horario_29&amp;30_03'!AD9</f>
        <v>92.003</v>
      </c>
      <c r="AG17" s="243">
        <v>30.431999999999999</v>
      </c>
      <c r="AH17" s="244">
        <f>'MPFM_Horario_29&amp;30_03'!AF9</f>
        <v>7.6999999999999999E-2</v>
      </c>
      <c r="AI17" s="109"/>
      <c r="AJ17" s="91">
        <f>SEP_29_03_OLEO!E10</f>
        <v>43.91</v>
      </c>
      <c r="AK17" s="94">
        <f>SEP_29_03_OLEO!D10</f>
        <v>88.537379999999999</v>
      </c>
      <c r="AL17" s="91">
        <f>SEP_29_03_OLEO!I10</f>
        <v>110.17400000000001</v>
      </c>
      <c r="AM17" s="167">
        <v>768.13</v>
      </c>
      <c r="AN17" s="93">
        <f t="shared" si="17"/>
        <v>84.627954619999997</v>
      </c>
      <c r="AO17" s="735">
        <f t="shared" si="18"/>
        <v>87.653332660000018</v>
      </c>
      <c r="AP17" s="92">
        <f>SEP_29_03_GAS!I10</f>
        <v>20.335999999999999</v>
      </c>
      <c r="AQ17" s="92">
        <f>SEP_29_03_AGUA!J10</f>
        <v>0.93799999999999994</v>
      </c>
      <c r="AR17" s="92">
        <f t="shared" si="19"/>
        <v>104.96395462</v>
      </c>
      <c r="AS17" s="93">
        <f t="shared" si="20"/>
        <v>105.90195462</v>
      </c>
      <c r="AT17" s="281">
        <f t="shared" si="21"/>
        <v>0.62921403961300193</v>
      </c>
      <c r="AU17" s="282">
        <f t="shared" si="22"/>
        <v>-0.17237836794700145</v>
      </c>
      <c r="AV17" s="145">
        <v>72.69</v>
      </c>
      <c r="AW17" s="92">
        <v>0.84030000000000005</v>
      </c>
      <c r="AX17" s="93">
        <v>0.02</v>
      </c>
      <c r="AY17" s="545">
        <f>SEP_29_03_OLEO!J10*(1-AX17/100)</f>
        <v>108.7572442</v>
      </c>
      <c r="AZ17" s="153">
        <f t="shared" si="23"/>
        <v>91.38871230126</v>
      </c>
      <c r="BA17" s="727">
        <v>861.88333333333298</v>
      </c>
      <c r="BB17" s="153">
        <f t="shared" si="47"/>
        <v>78.766407987250943</v>
      </c>
      <c r="BC17" s="544">
        <f t="shared" si="48"/>
        <v>6643.0454971785894</v>
      </c>
      <c r="BD17" s="153">
        <f>(SEP_29_03_GAS!H11+BC17)/1000</f>
        <v>31.235645497178584</v>
      </c>
      <c r="BE17" s="153">
        <f t="shared" si="24"/>
        <v>25.357097014609575</v>
      </c>
      <c r="BF17" s="544">
        <f>SEP_29_03_OLEO!J10*(AX17/100)</f>
        <v>2.1755799999999999E-2</v>
      </c>
      <c r="BG17" s="153">
        <f>SEP_29_03_AGUA!K10+'5.1 TotalHorario_Acomp28&amp;29_03'!BF17</f>
        <v>0.96075579999999994</v>
      </c>
      <c r="BH17" s="589">
        <f t="shared" si="25"/>
        <v>0.95835391049999996</v>
      </c>
      <c r="BI17" s="548">
        <f t="shared" si="26"/>
        <v>104.12350500186052</v>
      </c>
      <c r="BJ17" s="546">
        <f t="shared" si="27"/>
        <v>105.08185891236052</v>
      </c>
      <c r="BK17" s="111"/>
      <c r="BL17" s="176"/>
      <c r="BM17" s="177"/>
      <c r="BN17" s="177"/>
      <c r="BO17" s="176"/>
      <c r="BP17" s="177"/>
      <c r="BQ17" s="178"/>
      <c r="BR17" s="111"/>
      <c r="BS17" s="111"/>
      <c r="BT17" s="742">
        <f t="shared" si="28"/>
        <v>-0.1649300197868826</v>
      </c>
      <c r="BU17" s="92">
        <f t="shared" si="29"/>
        <v>18.171000000000006</v>
      </c>
      <c r="BV17" s="743">
        <f t="shared" si="30"/>
        <v>-2.5728474132259427E-2</v>
      </c>
      <c r="BW17" s="92">
        <f t="shared" si="31"/>
        <v>0.8036454971785858</v>
      </c>
      <c r="BX17" s="754">
        <f t="shared" si="32"/>
        <v>-0.91985476434282254</v>
      </c>
      <c r="BY17" s="93">
        <f t="shared" si="33"/>
        <v>0.88375579999999998</v>
      </c>
      <c r="BZ17" s="577">
        <f t="shared" si="34"/>
        <v>1.4381911155533222E-2</v>
      </c>
      <c r="CA17" s="92"/>
      <c r="CB17" s="578">
        <f t="shared" si="36"/>
        <v>6.0347341986817238E-3</v>
      </c>
      <c r="CC17" s="93"/>
      <c r="CD17" s="169" t="str">
        <f t="shared" si="38"/>
        <v>OK</v>
      </c>
      <c r="CE17" s="170" t="str">
        <f t="shared" si="39"/>
        <v>OK</v>
      </c>
      <c r="CG17" s="95">
        <f t="shared" si="40"/>
        <v>-1.9181125795654452E-2</v>
      </c>
      <c r="CH17" s="76">
        <f t="shared" si="41"/>
        <v>-1.9181125795654452E-2</v>
      </c>
      <c r="CI17" s="33">
        <f t="shared" si="42"/>
        <v>-1.0000000000000009E-3</v>
      </c>
      <c r="CJ17" s="76">
        <f t="shared" si="6"/>
        <v>-3.8362251591308905E-2</v>
      </c>
      <c r="CK17" s="97">
        <f t="shared" si="7"/>
        <v>-3.9362251591308905E-2</v>
      </c>
      <c r="CL17" s="98">
        <f t="shared" si="43"/>
        <v>0.29496191999999155</v>
      </c>
      <c r="CM17" s="76">
        <f t="shared" si="44"/>
        <v>4.81999999999978E-2</v>
      </c>
      <c r="CN17" s="76">
        <f t="shared" si="45"/>
        <v>-5.5000000000000049E-2</v>
      </c>
      <c r="CO17" s="76">
        <f t="shared" si="8"/>
        <v>0.34316191999998935</v>
      </c>
      <c r="CP17" s="47">
        <f t="shared" si="46"/>
        <v>0.2881619199999893</v>
      </c>
      <c r="CQ17" s="75" t="s">
        <v>12</v>
      </c>
      <c r="CR17" s="96"/>
    </row>
    <row r="18" spans="1:96" ht="24.75" customHeight="1" x14ac:dyDescent="0.25">
      <c r="A18" s="142">
        <v>46110.249998321757</v>
      </c>
      <c r="B18" s="142">
        <v>46110.291667129626</v>
      </c>
      <c r="C18" s="90">
        <f t="shared" si="0"/>
        <v>1.0000513888662681</v>
      </c>
      <c r="D18" s="258" cm="1">
        <f t="array" ref="D18">_xll.PITimeDat($D$7,A18,"","interpolated")</f>
        <v>13.525884067066885</v>
      </c>
      <c r="E18" s="674" cm="1">
        <f t="array" ref="E18">_xll.PITimeDat($E$7,A18,"","interpolated")</f>
        <v>4.9984292107661164E-2</v>
      </c>
      <c r="F18" s="674" cm="1">
        <f t="array" ref="F18">_xll.PITimeDat($F$7,A18,"","interpolated")</f>
        <v>5.0459195941542065E-2</v>
      </c>
      <c r="G18" s="258" cm="1">
        <f t="array" ref="G18">_xll.PITimeDat($G$7,A18,"","interpolated")</f>
        <v>0.13154557071835407</v>
      </c>
      <c r="H18" s="669">
        <f>'MPFM_Horario_29&amp;30_03'!O10</f>
        <v>104.621</v>
      </c>
      <c r="I18" s="572">
        <f>'MPFM_Horario_29&amp;30_03'!N10</f>
        <v>0</v>
      </c>
      <c r="J18" s="572">
        <f>'MPFM_Horario_29&amp;30_03'!Q10</f>
        <v>9.5000000000000001E-2</v>
      </c>
      <c r="K18" s="572">
        <f>'MPFM_Horario_29&amp;30_03'!P10</f>
        <v>104.621</v>
      </c>
      <c r="L18" s="573">
        <f t="shared" si="9"/>
        <v>104.71599999999999</v>
      </c>
      <c r="M18" s="670">
        <v>1.00953293661294</v>
      </c>
      <c r="N18" s="235">
        <v>1</v>
      </c>
      <c r="O18" s="235">
        <v>1</v>
      </c>
      <c r="P18" s="673">
        <v>1.00953293661294</v>
      </c>
      <c r="Q18" s="234">
        <f t="shared" si="10"/>
        <v>105.61834536138238</v>
      </c>
      <c r="R18" s="243">
        <f t="shared" si="11"/>
        <v>0</v>
      </c>
      <c r="S18" s="244">
        <f t="shared" si="12"/>
        <v>9.5000000000000001E-2</v>
      </c>
      <c r="T18" s="672">
        <f t="shared" si="13"/>
        <v>105.61834536138238</v>
      </c>
      <c r="U18" s="244">
        <f t="shared" si="14"/>
        <v>105.71334536138238</v>
      </c>
      <c r="V18" s="394">
        <f>'MPFM_Horario_29&amp;30_03'!AR10</f>
        <v>622.01</v>
      </c>
      <c r="W18" s="239">
        <f>'MPFM_Horario_29&amp;30_03'!AS10</f>
        <v>74.64</v>
      </c>
      <c r="X18" s="237">
        <f>'MPFM_Horario_29&amp;30_03'!AU10</f>
        <v>635.74</v>
      </c>
      <c r="Y18" s="237">
        <f>'MPFM_Horario_29&amp;30_03'!AT10</f>
        <v>575.54</v>
      </c>
      <c r="Z18" s="524">
        <f>'MPFM_Horario_29&amp;30_03'!AV10</f>
        <v>997.05</v>
      </c>
      <c r="AA18" s="237">
        <f>'MPFM_Horario_29&amp;30_03'!AI10</f>
        <v>79.111999999999995</v>
      </c>
      <c r="AB18" s="243">
        <f>'MPFM_Horario_29&amp;30_03'!AH10</f>
        <v>26.504000000000001</v>
      </c>
      <c r="AC18" s="237">
        <f>'MPFM_Horario_29&amp;30_03'!AK10</f>
        <v>9.5000000000000001E-2</v>
      </c>
      <c r="AD18" s="242">
        <f t="shared" si="15"/>
        <v>105.616</v>
      </c>
      <c r="AE18" s="250">
        <f t="shared" si="16"/>
        <v>105.711</v>
      </c>
      <c r="AF18" s="243">
        <f>'MPFM_Horario_29&amp;30_03'!AD10</f>
        <v>91.998000000000005</v>
      </c>
      <c r="AG18" s="243">
        <v>30.431000000000001</v>
      </c>
      <c r="AH18" s="244">
        <f>'MPFM_Horario_29&amp;30_03'!AF10</f>
        <v>7.6999999999999999E-2</v>
      </c>
      <c r="AI18" s="109"/>
      <c r="AJ18" s="91">
        <f>SEP_29_03_OLEO!E11</f>
        <v>43.3</v>
      </c>
      <c r="AK18" s="94">
        <f>SEP_29_03_OLEO!D11</f>
        <v>88.537890000000004</v>
      </c>
      <c r="AL18" s="91">
        <f>SEP_29_03_OLEO!I11</f>
        <v>110.485</v>
      </c>
      <c r="AM18" s="167">
        <v>768.13</v>
      </c>
      <c r="AN18" s="93">
        <f t="shared" si="17"/>
        <v>84.86684305</v>
      </c>
      <c r="AO18" s="735">
        <f t="shared" si="18"/>
        <v>87.900761150000008</v>
      </c>
      <c r="AP18" s="92">
        <f>SEP_29_03_GAS!I11</f>
        <v>20.318200000000001</v>
      </c>
      <c r="AQ18" s="92">
        <f>SEP_29_03_AGUA!J11</f>
        <v>0.91</v>
      </c>
      <c r="AR18" s="92">
        <f t="shared" si="19"/>
        <v>105.18504305</v>
      </c>
      <c r="AS18" s="93">
        <f t="shared" si="20"/>
        <v>106.09504305</v>
      </c>
      <c r="AT18" s="281">
        <f t="shared" si="21"/>
        <v>0.41194289493839964</v>
      </c>
      <c r="AU18" s="282">
        <f t="shared" si="22"/>
        <v>-0.35976957796014508</v>
      </c>
      <c r="AV18" s="145">
        <v>72.69</v>
      </c>
      <c r="AW18" s="92">
        <v>0.84030000000000005</v>
      </c>
      <c r="AX18" s="93">
        <v>0.02</v>
      </c>
      <c r="AY18" s="545">
        <f>SEP_29_03_OLEO!J11*(1-AX18/100)</f>
        <v>109.11517260000001</v>
      </c>
      <c r="AZ18" s="153">
        <f t="shared" si="23"/>
        <v>91.689479535780009</v>
      </c>
      <c r="BA18" s="727">
        <v>861.88333333333298</v>
      </c>
      <c r="BB18" s="153">
        <f t="shared" si="47"/>
        <v>79.025634253896499</v>
      </c>
      <c r="BC18" s="544">
        <f t="shared" si="48"/>
        <v>6664.9082674558485</v>
      </c>
      <c r="BD18" s="153">
        <f>(SEP_29_03_GAS!H12+BC18)/1000</f>
        <v>31.292408267455848</v>
      </c>
      <c r="BE18" s="153">
        <f t="shared" si="24"/>
        <v>25.403177031520659</v>
      </c>
      <c r="BF18" s="544">
        <f>SEP_29_03_OLEO!J11*(AX18/100)</f>
        <v>2.18274E-2</v>
      </c>
      <c r="BG18" s="153">
        <f>SEP_29_03_AGUA!K11+'5.1 TotalHorario_Acomp28&amp;29_03'!BF18</f>
        <v>0.93382740000000009</v>
      </c>
      <c r="BH18" s="589">
        <f t="shared" si="25"/>
        <v>0.93149283150000006</v>
      </c>
      <c r="BI18" s="548">
        <f t="shared" si="26"/>
        <v>104.42881128541715</v>
      </c>
      <c r="BJ18" s="546">
        <f t="shared" si="27"/>
        <v>105.36030411691715</v>
      </c>
      <c r="BK18" s="111"/>
      <c r="BL18" s="176"/>
      <c r="BM18" s="177"/>
      <c r="BN18" s="177"/>
      <c r="BO18" s="176"/>
      <c r="BP18" s="177"/>
      <c r="BQ18" s="178"/>
      <c r="BR18" s="111"/>
      <c r="BS18" s="111"/>
      <c r="BT18" s="742">
        <f t="shared" si="28"/>
        <v>-0.16732588134135851</v>
      </c>
      <c r="BU18" s="92">
        <f t="shared" si="29"/>
        <v>18.486999999999995</v>
      </c>
      <c r="BV18" s="743">
        <f t="shared" si="30"/>
        <v>-2.7527707682112545E-2</v>
      </c>
      <c r="BW18" s="92">
        <f t="shared" si="31"/>
        <v>0.86140826745584675</v>
      </c>
      <c r="BX18" s="754">
        <f t="shared" si="32"/>
        <v>-0.91754364885845074</v>
      </c>
      <c r="BY18" s="93">
        <f t="shared" si="33"/>
        <v>0.85682740000000013</v>
      </c>
      <c r="BZ18" s="577">
        <f t="shared" si="34"/>
        <v>1.136840207189671E-2</v>
      </c>
      <c r="CA18" s="92"/>
      <c r="CB18" s="578">
        <f t="shared" si="36"/>
        <v>3.3285390168737994E-3</v>
      </c>
      <c r="CC18" s="93"/>
      <c r="CD18" s="169" t="str">
        <f t="shared" si="38"/>
        <v>OK</v>
      </c>
      <c r="CE18" s="170" t="str">
        <f t="shared" si="39"/>
        <v>OK</v>
      </c>
      <c r="CG18" s="95">
        <f t="shared" si="40"/>
        <v>-6.0571976196825972E-3</v>
      </c>
      <c r="CH18" s="76">
        <f t="shared" si="41"/>
        <v>-6.0571976196825972E-3</v>
      </c>
      <c r="CI18" s="33">
        <f t="shared" si="42"/>
        <v>0</v>
      </c>
      <c r="CJ18" s="76">
        <f t="shared" si="6"/>
        <v>-1.2114395239365194E-2</v>
      </c>
      <c r="CK18" s="97">
        <f t="shared" si="7"/>
        <v>-1.2114395239365194E-2</v>
      </c>
      <c r="CL18" s="98">
        <f t="shared" si="43"/>
        <v>0.23888843000000293</v>
      </c>
      <c r="CM18" s="76">
        <f t="shared" si="44"/>
        <v>-1.7799999999997596E-2</v>
      </c>
      <c r="CN18" s="76">
        <f t="shared" si="45"/>
        <v>-2.7999999999999914E-2</v>
      </c>
      <c r="CO18" s="76">
        <f t="shared" si="8"/>
        <v>0.22108843000000533</v>
      </c>
      <c r="CP18" s="47">
        <f t="shared" si="46"/>
        <v>0.19308843000000542</v>
      </c>
      <c r="CQ18" s="75" t="s">
        <v>12</v>
      </c>
      <c r="CR18" s="96"/>
    </row>
    <row r="19" spans="1:96" ht="24.75" customHeight="1" x14ac:dyDescent="0.25">
      <c r="A19" s="180">
        <v>46110.291664699071</v>
      </c>
      <c r="B19" s="142">
        <v>46110.333333854163</v>
      </c>
      <c r="C19" s="90">
        <f t="shared" si="0"/>
        <v>1.0000597222242504</v>
      </c>
      <c r="D19" s="258" cm="1">
        <f t="array" ref="D19">_xll.PITimeDat($D$7,A19,"","interpolated")</f>
        <v>13.915596801681708</v>
      </c>
      <c r="E19" s="674" cm="1">
        <f t="array" ref="E19">_xll.PITimeDat($E$7,A19,"","interpolated")</f>
        <v>4.9973759167677177E-2</v>
      </c>
      <c r="F19" s="674" cm="1">
        <f t="array" ref="F19">_xll.PITimeDat($F$7,A19,"","interpolated")</f>
        <v>5.0457508368431915E-2</v>
      </c>
      <c r="G19" s="258" cm="1">
        <f t="array" ref="G19">_xll.PITimeDat($G$7,A19,"","interpolated")</f>
        <v>0.21974937646731713</v>
      </c>
      <c r="H19" s="669">
        <f>'MPFM_Horario_29&amp;30_03'!O11</f>
        <v>104.627</v>
      </c>
      <c r="I19" s="572">
        <f>'MPFM_Horario_29&amp;30_03'!N11</f>
        <v>0</v>
      </c>
      <c r="J19" s="572">
        <f>'MPFM_Horario_29&amp;30_03'!Q11</f>
        <v>9.5000000000000001E-2</v>
      </c>
      <c r="K19" s="572">
        <f>'MPFM_Horario_29&amp;30_03'!P11</f>
        <v>104.627</v>
      </c>
      <c r="L19" s="573">
        <f t="shared" si="9"/>
        <v>104.72199999999999</v>
      </c>
      <c r="M19" s="670">
        <v>1.00953293661294</v>
      </c>
      <c r="N19" s="235">
        <v>1</v>
      </c>
      <c r="O19" s="235">
        <v>1</v>
      </c>
      <c r="P19" s="673">
        <v>1.00953293661294</v>
      </c>
      <c r="Q19" s="234">
        <f t="shared" si="10"/>
        <v>105.62440255900206</v>
      </c>
      <c r="R19" s="243">
        <f t="shared" si="11"/>
        <v>0</v>
      </c>
      <c r="S19" s="244">
        <f t="shared" si="12"/>
        <v>9.5000000000000001E-2</v>
      </c>
      <c r="T19" s="672">
        <f t="shared" si="13"/>
        <v>105.62440255900206</v>
      </c>
      <c r="U19" s="244">
        <f t="shared" si="14"/>
        <v>105.71940255900206</v>
      </c>
      <c r="V19" s="394">
        <f>'MPFM_Horario_29&amp;30_03'!AR11</f>
        <v>622.08000000000004</v>
      </c>
      <c r="W19" s="239">
        <f>'MPFM_Horario_29&amp;30_03'!AS11</f>
        <v>74.61</v>
      </c>
      <c r="X19" s="237">
        <f>'MPFM_Horario_29&amp;30_03'!AU11</f>
        <v>635.77</v>
      </c>
      <c r="Y19" s="237">
        <f>'MPFM_Horario_29&amp;30_03'!AT11</f>
        <v>575.57000000000005</v>
      </c>
      <c r="Z19" s="524">
        <f>'MPFM_Horario_29&amp;30_03'!AV11</f>
        <v>997.05</v>
      </c>
      <c r="AA19" s="237">
        <f>'MPFM_Horario_29&amp;30_03'!AI11</f>
        <v>79.116</v>
      </c>
      <c r="AB19" s="243">
        <f>'MPFM_Horario_29&amp;30_03'!AH11</f>
        <v>26.504999999999999</v>
      </c>
      <c r="AC19" s="237">
        <f>'MPFM_Horario_29&amp;30_03'!AK11</f>
        <v>9.5000000000000001E-2</v>
      </c>
      <c r="AD19" s="242">
        <f t="shared" si="15"/>
        <v>105.621</v>
      </c>
      <c r="AE19" s="250">
        <f t="shared" si="16"/>
        <v>105.71599999999999</v>
      </c>
      <c r="AF19" s="243">
        <f>'MPFM_Horario_29&amp;30_03'!AD11</f>
        <v>92.003</v>
      </c>
      <c r="AG19" s="243">
        <v>30.431999999999999</v>
      </c>
      <c r="AH19" s="244">
        <f>'MPFM_Horario_29&amp;30_03'!AF11</f>
        <v>7.6999999999999999E-2</v>
      </c>
      <c r="AI19" s="109"/>
      <c r="AJ19" s="91">
        <f>SEP_29_03_OLEO!E12</f>
        <v>42.88</v>
      </c>
      <c r="AK19" s="94">
        <f>SEP_29_03_OLEO!D12</f>
        <v>88.534840000000003</v>
      </c>
      <c r="AL19" s="91">
        <f>SEP_29_03_OLEO!I12</f>
        <v>110.4</v>
      </c>
      <c r="AM19" s="167">
        <v>768.13</v>
      </c>
      <c r="AN19" s="93">
        <f t="shared" si="17"/>
        <v>84.801552000000015</v>
      </c>
      <c r="AO19" s="735">
        <f t="shared" si="18"/>
        <v>87.83313600000001</v>
      </c>
      <c r="AP19" s="92">
        <f>SEP_29_03_GAS!I12</f>
        <v>20.347100000000001</v>
      </c>
      <c r="AQ19" s="92">
        <f>SEP_29_03_AGUA!J12</f>
        <v>0.997</v>
      </c>
      <c r="AR19" s="92">
        <f t="shared" si="19"/>
        <v>105.14865200000001</v>
      </c>
      <c r="AS19" s="93">
        <f t="shared" si="20"/>
        <v>106.14565200000001</v>
      </c>
      <c r="AT19" s="281">
        <f t="shared" si="21"/>
        <v>0.45245521454906346</v>
      </c>
      <c r="AU19" s="282">
        <f t="shared" si="22"/>
        <v>-0.40157032621359612</v>
      </c>
      <c r="AV19" s="145">
        <v>72.69</v>
      </c>
      <c r="AW19" s="92">
        <v>0.84030000000000005</v>
      </c>
      <c r="AX19" s="93">
        <v>0.02</v>
      </c>
      <c r="AY19" s="545">
        <f>SEP_29_03_OLEO!J12*(1-AX19/100)</f>
        <v>109.0701816</v>
      </c>
      <c r="AZ19" s="153">
        <f t="shared" si="23"/>
        <v>91.651673598480002</v>
      </c>
      <c r="BA19" s="727">
        <v>861.88333333333298</v>
      </c>
      <c r="BB19" s="153">
        <f t="shared" si="47"/>
        <v>78.993049946636575</v>
      </c>
      <c r="BC19" s="544">
        <f t="shared" si="48"/>
        <v>6662.1601538735113</v>
      </c>
      <c r="BD19" s="153">
        <f>(SEP_29_03_GAS!H13+BC19)/1000</f>
        <v>31.405060153873514</v>
      </c>
      <c r="BE19" s="153">
        <f t="shared" si="24"/>
        <v>25.494627832914521</v>
      </c>
      <c r="BF19" s="544">
        <f>SEP_29_03_OLEO!J12*(AX19/100)</f>
        <v>2.1818400000000002E-2</v>
      </c>
      <c r="BG19" s="153">
        <f>SEP_29_03_AGUA!K12+'5.1 TotalHorario_Acomp28&amp;29_03'!BF19</f>
        <v>1.0208184</v>
      </c>
      <c r="BH19" s="589">
        <f t="shared" si="25"/>
        <v>1.0182663539999999</v>
      </c>
      <c r="BI19" s="548">
        <f t="shared" si="26"/>
        <v>104.48767777955109</v>
      </c>
      <c r="BJ19" s="546">
        <f t="shared" si="27"/>
        <v>105.5059441335511</v>
      </c>
      <c r="BK19" s="111"/>
      <c r="BL19" s="176"/>
      <c r="BM19" s="177"/>
      <c r="BN19" s="177"/>
      <c r="BO19" s="176"/>
      <c r="BP19" s="177"/>
      <c r="BQ19" s="178"/>
      <c r="BR19" s="111"/>
      <c r="BS19" s="111"/>
      <c r="BT19" s="742">
        <f t="shared" si="28"/>
        <v>-0.16663949275362322</v>
      </c>
      <c r="BU19" s="92">
        <f t="shared" si="29"/>
        <v>18.397000000000006</v>
      </c>
      <c r="BV19" s="743">
        <f t="shared" si="30"/>
        <v>-3.0984183730452086E-2</v>
      </c>
      <c r="BW19" s="92">
        <f t="shared" si="31"/>
        <v>0.97306015387351508</v>
      </c>
      <c r="BX19" s="754">
        <f t="shared" si="32"/>
        <v>-0.92457032514304205</v>
      </c>
      <c r="BY19" s="93">
        <f t="shared" si="33"/>
        <v>0.94381840000000006</v>
      </c>
      <c r="BZ19" s="577">
        <f t="shared" si="34"/>
        <v>1.0846467684352268E-2</v>
      </c>
      <c r="CA19" s="92"/>
      <c r="CB19" s="578">
        <f t="shared" si="36"/>
        <v>1.9909386923546712E-3</v>
      </c>
      <c r="CC19" s="93"/>
      <c r="CD19" s="169" t="str">
        <f t="shared" si="38"/>
        <v>OK</v>
      </c>
      <c r="CE19" s="170" t="str">
        <f t="shared" si="39"/>
        <v>OK</v>
      </c>
      <c r="CG19" s="95">
        <f t="shared" si="40"/>
        <v>6.0571976196825972E-3</v>
      </c>
      <c r="CH19" s="76">
        <f t="shared" si="41"/>
        <v>6.0571976196825972E-3</v>
      </c>
      <c r="CI19" s="33">
        <f t="shared" si="42"/>
        <v>0</v>
      </c>
      <c r="CJ19" s="76">
        <f t="shared" si="6"/>
        <v>1.2114395239365194E-2</v>
      </c>
      <c r="CK19" s="97">
        <f t="shared" si="7"/>
        <v>1.2114395239365194E-2</v>
      </c>
      <c r="CL19" s="98">
        <f t="shared" si="43"/>
        <v>-6.5291049999984807E-2</v>
      </c>
      <c r="CM19" s="76">
        <f t="shared" si="44"/>
        <v>2.8900000000000148E-2</v>
      </c>
      <c r="CN19" s="76">
        <f t="shared" si="45"/>
        <v>8.6999999999999966E-2</v>
      </c>
      <c r="CO19" s="76">
        <f t="shared" si="8"/>
        <v>-3.6391049999984659E-2</v>
      </c>
      <c r="CP19" s="47">
        <f t="shared" si="46"/>
        <v>5.0608950000015307E-2</v>
      </c>
      <c r="CQ19" s="75" t="s">
        <v>12</v>
      </c>
      <c r="CR19" s="96"/>
    </row>
    <row r="20" spans="1:96" ht="24.75" customHeight="1" x14ac:dyDescent="0.25">
      <c r="A20" s="142">
        <v>46110.333331076392</v>
      </c>
      <c r="B20" s="142">
        <v>46110.375000578701</v>
      </c>
      <c r="C20" s="90">
        <f t="shared" si="0"/>
        <v>1.0000680554076098</v>
      </c>
      <c r="D20" s="258" cm="1">
        <f t="array" ref="D20">_xll.PITimeDat($D$7,A20,"","interpolated")</f>
        <v>14.454745732126822</v>
      </c>
      <c r="E20" s="674" cm="1">
        <f t="array" ref="E20">_xll.PITimeDat($E$7,A20,"","interpolated")</f>
        <v>5.0003053402635632E-2</v>
      </c>
      <c r="F20" s="674" cm="1">
        <f t="array" ref="F20">_xll.PITimeDat($F$7,A20,"","interpolated")</f>
        <v>5.0462137088409804E-2</v>
      </c>
      <c r="G20" s="258" cm="1">
        <f t="array" ref="G20">_xll.PITimeDat($G$7,A20,"","interpolated")</f>
        <v>0.30795318259013926</v>
      </c>
      <c r="H20" s="669">
        <f>'MPFM_Horario_29&amp;30_03'!O12</f>
        <v>104.81399999999999</v>
      </c>
      <c r="I20" s="572">
        <f>'MPFM_Horario_29&amp;30_03'!N12</f>
        <v>0</v>
      </c>
      <c r="J20" s="572">
        <f>'MPFM_Horario_29&amp;30_03'!Q12</f>
        <v>9.6000000000000002E-2</v>
      </c>
      <c r="K20" s="572">
        <f>'MPFM_Horario_29&amp;30_03'!P12</f>
        <v>104.81399999999999</v>
      </c>
      <c r="L20" s="573">
        <f t="shared" si="9"/>
        <v>104.91</v>
      </c>
      <c r="M20" s="670">
        <v>1.00953293661294</v>
      </c>
      <c r="N20" s="235">
        <v>1</v>
      </c>
      <c r="O20" s="235">
        <v>1</v>
      </c>
      <c r="P20" s="673">
        <v>1.00953293661294</v>
      </c>
      <c r="Q20" s="234">
        <f t="shared" si="10"/>
        <v>105.81318521814869</v>
      </c>
      <c r="R20" s="243">
        <f t="shared" si="11"/>
        <v>0</v>
      </c>
      <c r="S20" s="244">
        <f t="shared" si="12"/>
        <v>9.6000000000000002E-2</v>
      </c>
      <c r="T20" s="672">
        <f t="shared" si="13"/>
        <v>105.81318521814869</v>
      </c>
      <c r="U20" s="244">
        <f t="shared" si="14"/>
        <v>105.90918521814869</v>
      </c>
      <c r="V20" s="394">
        <f>'MPFM_Horario_29&amp;30_03'!AR12</f>
        <v>622.12</v>
      </c>
      <c r="W20" s="239">
        <f>'MPFM_Horario_29&amp;30_03'!AS12</f>
        <v>74.59</v>
      </c>
      <c r="X20" s="237">
        <f>'MPFM_Horario_29&amp;30_03'!AU12</f>
        <v>635.79</v>
      </c>
      <c r="Y20" s="237">
        <f>'MPFM_Horario_29&amp;30_03'!AT12</f>
        <v>575.58000000000004</v>
      </c>
      <c r="Z20" s="524">
        <f>'MPFM_Horario_29&amp;30_03'!AV12</f>
        <v>997.05</v>
      </c>
      <c r="AA20" s="237">
        <f>'MPFM_Horario_29&amp;30_03'!AI12</f>
        <v>79.257999999999996</v>
      </c>
      <c r="AB20" s="243">
        <f>'MPFM_Horario_29&amp;30_03'!AH12</f>
        <v>26.552</v>
      </c>
      <c r="AC20" s="237">
        <f>'MPFM_Horario_29&amp;30_03'!AK12</f>
        <v>9.6000000000000002E-2</v>
      </c>
      <c r="AD20" s="242">
        <f t="shared" si="15"/>
        <v>105.81</v>
      </c>
      <c r="AE20" s="250">
        <f t="shared" si="16"/>
        <v>105.90600000000001</v>
      </c>
      <c r="AF20" s="243">
        <f>'MPFM_Horario_29&amp;30_03'!AD12</f>
        <v>92.168000000000006</v>
      </c>
      <c r="AG20" s="243">
        <v>30.486999999999998</v>
      </c>
      <c r="AH20" s="244">
        <f>'MPFM_Horario_29&amp;30_03'!AF12</f>
        <v>7.6999999999999999E-2</v>
      </c>
      <c r="AI20" s="109"/>
      <c r="AJ20" s="91">
        <f>SEP_29_03_OLEO!E13</f>
        <v>42.59</v>
      </c>
      <c r="AK20" s="94">
        <f>SEP_29_03_OLEO!D13</f>
        <v>88.538719999999998</v>
      </c>
      <c r="AL20" s="91">
        <f>SEP_29_03_OLEO!I13</f>
        <v>110.655</v>
      </c>
      <c r="AM20" s="167">
        <v>768.13</v>
      </c>
      <c r="AN20" s="93">
        <f t="shared" si="17"/>
        <v>84.997425149999998</v>
      </c>
      <c r="AO20" s="735">
        <f t="shared" si="18"/>
        <v>88.036011450000004</v>
      </c>
      <c r="AP20" s="92">
        <f>SEP_29_03_GAS!I13</f>
        <v>20.442399999999999</v>
      </c>
      <c r="AQ20" s="92">
        <f>SEP_29_03_AGUA!J13</f>
        <v>1.075</v>
      </c>
      <c r="AR20" s="92">
        <f t="shared" si="19"/>
        <v>105.43982514999999</v>
      </c>
      <c r="AS20" s="93">
        <f t="shared" si="20"/>
        <v>106.51482514999999</v>
      </c>
      <c r="AT20" s="281">
        <f t="shared" si="21"/>
        <v>0.35409776867283416</v>
      </c>
      <c r="AU20" s="282">
        <f t="shared" si="22"/>
        <v>-0.56859684179962899</v>
      </c>
      <c r="AV20" s="145">
        <v>72.69</v>
      </c>
      <c r="AW20" s="92">
        <v>0.84030000000000005</v>
      </c>
      <c r="AX20" s="93">
        <v>0.02</v>
      </c>
      <c r="AY20" s="545">
        <f>SEP_29_03_OLEO!J13*(1-AX20/100)</f>
        <v>109.34712620000001</v>
      </c>
      <c r="AZ20" s="153">
        <f t="shared" si="23"/>
        <v>91.88439014586001</v>
      </c>
      <c r="BA20" s="727">
        <v>861.88333333333298</v>
      </c>
      <c r="BB20" s="153">
        <f t="shared" si="47"/>
        <v>79.193624460214281</v>
      </c>
      <c r="BC20" s="544">
        <f t="shared" si="48"/>
        <v>6679.0763197025635</v>
      </c>
      <c r="BD20" s="153">
        <f>(SEP_29_03_GAS!H14+BC20)/1000</f>
        <v>32.200976319702562</v>
      </c>
      <c r="BE20" s="153">
        <f t="shared" si="24"/>
        <v>26.140752576334545</v>
      </c>
      <c r="BF20" s="544">
        <f>SEP_29_03_OLEO!J13*(AX20/100)</f>
        <v>2.1873800000000002E-2</v>
      </c>
      <c r="BG20" s="153">
        <f>SEP_29_03_AGUA!K13+'5.1 TotalHorario_Acomp28&amp;29_03'!BF20</f>
        <v>1.0988738</v>
      </c>
      <c r="BH20" s="589">
        <f t="shared" si="25"/>
        <v>1.0961266155</v>
      </c>
      <c r="BI20" s="548">
        <f t="shared" si="26"/>
        <v>105.33437703654883</v>
      </c>
      <c r="BJ20" s="546">
        <f t="shared" si="27"/>
        <v>106.43050365204883</v>
      </c>
      <c r="BK20" s="111"/>
      <c r="BL20" s="176"/>
      <c r="BM20" s="177"/>
      <c r="BN20" s="177"/>
      <c r="BO20" s="176"/>
      <c r="BP20" s="177"/>
      <c r="BQ20" s="178"/>
      <c r="BR20" s="111"/>
      <c r="BS20" s="111"/>
      <c r="BT20" s="742">
        <f t="shared" si="28"/>
        <v>-0.16706881749582025</v>
      </c>
      <c r="BU20" s="92">
        <f t="shared" si="29"/>
        <v>18.486999999999995</v>
      </c>
      <c r="BV20" s="743">
        <f t="shared" si="30"/>
        <v>-5.3227464368955979E-2</v>
      </c>
      <c r="BW20" s="92">
        <f t="shared" si="31"/>
        <v>1.7139763197025637</v>
      </c>
      <c r="BX20" s="754">
        <f t="shared" si="32"/>
        <v>-0.92992825927781697</v>
      </c>
      <c r="BY20" s="93">
        <f t="shared" si="33"/>
        <v>1.0218738000000001</v>
      </c>
      <c r="BZ20" s="577">
        <f t="shared" si="34"/>
        <v>4.5153631400520755E-3</v>
      </c>
      <c r="CA20" s="92"/>
      <c r="CB20" s="578">
        <f t="shared" si="36"/>
        <v>-4.9281327631744976E-3</v>
      </c>
      <c r="CC20" s="93"/>
      <c r="CD20" s="169" t="str">
        <f t="shared" si="38"/>
        <v>OK</v>
      </c>
      <c r="CE20" s="170" t="str">
        <f t="shared" si="39"/>
        <v>OK</v>
      </c>
      <c r="CG20" s="95">
        <f t="shared" si="40"/>
        <v>0.18878265914662506</v>
      </c>
      <c r="CH20" s="76">
        <f t="shared" si="41"/>
        <v>0.18878265914662506</v>
      </c>
      <c r="CI20" s="33">
        <f t="shared" si="42"/>
        <v>1.0000000000000009E-3</v>
      </c>
      <c r="CJ20" s="76">
        <f t="shared" si="6"/>
        <v>0.37756531829325013</v>
      </c>
      <c r="CK20" s="97">
        <f t="shared" si="7"/>
        <v>0.37856531829325013</v>
      </c>
      <c r="CL20" s="98">
        <f t="shared" si="43"/>
        <v>0.19587314999998284</v>
      </c>
      <c r="CM20" s="76">
        <f t="shared" si="44"/>
        <v>9.5299999999998164E-2</v>
      </c>
      <c r="CN20" s="76">
        <f t="shared" si="45"/>
        <v>7.7999999999999958E-2</v>
      </c>
      <c r="CO20" s="76">
        <f t="shared" si="8"/>
        <v>0.29117314999998101</v>
      </c>
      <c r="CP20" s="47">
        <f t="shared" si="46"/>
        <v>0.36917314999998097</v>
      </c>
      <c r="CQ20" s="75" t="s">
        <v>12</v>
      </c>
      <c r="CR20" s="96"/>
    </row>
    <row r="21" spans="1:96" ht="24.75" customHeight="1" x14ac:dyDescent="0.25">
      <c r="A21" s="180">
        <v>46110.374997453706</v>
      </c>
      <c r="B21" s="142">
        <v>46110.416667303238</v>
      </c>
      <c r="C21" s="90">
        <f t="shared" si="0"/>
        <v>1.0000763887655921</v>
      </c>
      <c r="D21" s="258" cm="1">
        <f t="array" ref="D21">_xll.PITimeDat($D$7,A21,"","interpolated")</f>
        <v>15.448242244261792</v>
      </c>
      <c r="E21" s="674" cm="1">
        <f t="array" ref="E21">_xll.PITimeDat($E$7,A21,"","interpolated")</f>
        <v>5.0010304588305868E-2</v>
      </c>
      <c r="F21" s="674" cm="1">
        <f t="array" ref="F21">_xll.PITimeDat($F$7,A21,"","interpolated")</f>
        <v>5.0463174724557441E-2</v>
      </c>
      <c r="G21" s="258" cm="1">
        <f t="array" ref="G21">_xll.PITimeDat($G$7,A21,"","interpolated")</f>
        <v>0.39615698871296129</v>
      </c>
      <c r="H21" s="669">
        <f>'MPFM_Horario_29&amp;30_03'!O13</f>
        <v>105.155</v>
      </c>
      <c r="I21" s="572">
        <f>'MPFM_Horario_29&amp;30_03'!N13</f>
        <v>0</v>
      </c>
      <c r="J21" s="572">
        <f>'MPFM_Horario_29&amp;30_03'!Q13</f>
        <v>9.6000000000000002E-2</v>
      </c>
      <c r="K21" s="572">
        <f>'MPFM_Horario_29&amp;30_03'!P13</f>
        <v>105.155</v>
      </c>
      <c r="L21" s="573">
        <f t="shared" si="9"/>
        <v>105.251</v>
      </c>
      <c r="M21" s="670">
        <v>1.00953293661294</v>
      </c>
      <c r="N21" s="235">
        <v>1</v>
      </c>
      <c r="O21" s="235">
        <v>1</v>
      </c>
      <c r="P21" s="673">
        <v>1.00953293661294</v>
      </c>
      <c r="Q21" s="234">
        <f t="shared" si="10"/>
        <v>106.15743594953371</v>
      </c>
      <c r="R21" s="243">
        <f t="shared" si="11"/>
        <v>0</v>
      </c>
      <c r="S21" s="244">
        <f t="shared" si="12"/>
        <v>9.6000000000000002E-2</v>
      </c>
      <c r="T21" s="672">
        <f t="shared" si="13"/>
        <v>106.15743594953371</v>
      </c>
      <c r="U21" s="244">
        <f t="shared" si="14"/>
        <v>106.25343594953371</v>
      </c>
      <c r="V21" s="394">
        <f>'MPFM_Horario_29&amp;30_03'!AR13</f>
        <v>622.11</v>
      </c>
      <c r="W21" s="239">
        <f>'MPFM_Horario_29&amp;30_03'!AS13</f>
        <v>74.58</v>
      </c>
      <c r="X21" s="237">
        <f>'MPFM_Horario_29&amp;30_03'!AU13</f>
        <v>635.79999999999995</v>
      </c>
      <c r="Y21" s="237">
        <f>'MPFM_Horario_29&amp;30_03'!AT13</f>
        <v>575.59</v>
      </c>
      <c r="Z21" s="524">
        <f>'MPFM_Horario_29&amp;30_03'!AV13</f>
        <v>997.05</v>
      </c>
      <c r="AA21" s="237">
        <f>'MPFM_Horario_29&amp;30_03'!AI13</f>
        <v>79.515000000000001</v>
      </c>
      <c r="AB21" s="243">
        <f>'MPFM_Horario_29&amp;30_03'!AH13</f>
        <v>26.638999999999999</v>
      </c>
      <c r="AC21" s="237">
        <f>'MPFM_Horario_29&amp;30_03'!AK13</f>
        <v>9.6000000000000002E-2</v>
      </c>
      <c r="AD21" s="242">
        <f t="shared" si="15"/>
        <v>106.154</v>
      </c>
      <c r="AE21" s="250">
        <f t="shared" si="16"/>
        <v>106.25</v>
      </c>
      <c r="AF21" s="243">
        <f>'MPFM_Horario_29&amp;30_03'!AD13</f>
        <v>92.466999999999999</v>
      </c>
      <c r="AG21" s="243">
        <v>30.585999999999999</v>
      </c>
      <c r="AH21" s="244">
        <f>'MPFM_Horario_29&amp;30_03'!AF13</f>
        <v>7.6999999999999999E-2</v>
      </c>
      <c r="AI21" s="109"/>
      <c r="AJ21" s="91">
        <f>SEP_29_03_OLEO!E14</f>
        <v>42.4</v>
      </c>
      <c r="AK21" s="94">
        <f>SEP_29_03_OLEO!D14</f>
        <v>88.503050000000002</v>
      </c>
      <c r="AL21" s="91">
        <f>SEP_29_03_OLEO!I14</f>
        <v>117.953</v>
      </c>
      <c r="AM21" s="167">
        <v>768.13</v>
      </c>
      <c r="AN21" s="93">
        <f t="shared" si="17"/>
        <v>90.603237890000003</v>
      </c>
      <c r="AO21" s="735">
        <f t="shared" si="18"/>
        <v>93.842227270000009</v>
      </c>
      <c r="AP21" s="92">
        <f>SEP_29_03_GAS!I14</f>
        <v>21.085899999999999</v>
      </c>
      <c r="AQ21" s="92">
        <f>SEP_29_03_AGUA!J14</f>
        <v>1.395</v>
      </c>
      <c r="AR21" s="92">
        <f t="shared" si="19"/>
        <v>111.68913789</v>
      </c>
      <c r="AS21" s="93">
        <f t="shared" si="20"/>
        <v>113.08413788999999</v>
      </c>
      <c r="AT21" s="281">
        <f t="shared" si="21"/>
        <v>-4.9527662626551283</v>
      </c>
      <c r="AU21" s="282">
        <f t="shared" si="22"/>
        <v>-6.0403714154063648</v>
      </c>
      <c r="AV21" s="145">
        <v>72.69</v>
      </c>
      <c r="AW21" s="92">
        <v>0.84030000000000005</v>
      </c>
      <c r="AX21" s="93">
        <v>0.02</v>
      </c>
      <c r="AY21" s="545">
        <f>SEP_29_03_OLEO!J14*(1-AX21/100)</f>
        <v>116.57668</v>
      </c>
      <c r="AZ21" s="153">
        <f>AY21*AW21</f>
        <v>97.959384204000003</v>
      </c>
      <c r="BA21" s="727">
        <v>861.88333333333298</v>
      </c>
      <c r="BB21" s="153">
        <f t="shared" si="47"/>
        <v>84.429560589024177</v>
      </c>
      <c r="BC21" s="544">
        <f t="shared" si="48"/>
        <v>7120.6676377887597</v>
      </c>
      <c r="BD21" s="153">
        <f>(SEP_29_03_GAS!H15+BC21)/1000</f>
        <v>33.218867637788762</v>
      </c>
      <c r="BE21" s="153">
        <f t="shared" si="24"/>
        <v>26.967076748356916</v>
      </c>
      <c r="BF21" s="544">
        <f>SEP_29_03_OLEO!J14*(AX21/100)</f>
        <v>2.332E-2</v>
      </c>
      <c r="BG21" s="153">
        <f>SEP_29_03_AGUA!K14+'5.1 TotalHorario_Acomp28&amp;29_03'!BF21</f>
        <v>1.42032</v>
      </c>
      <c r="BH21" s="589">
        <f t="shared" si="25"/>
        <v>1.4167692000000001</v>
      </c>
      <c r="BI21" s="548">
        <f t="shared" si="26"/>
        <v>111.39663733738109</v>
      </c>
      <c r="BJ21" s="546">
        <f t="shared" si="27"/>
        <v>112.8134065373811</v>
      </c>
      <c r="BK21" s="111"/>
      <c r="BL21" s="176"/>
      <c r="BM21" s="177"/>
      <c r="BN21" s="177"/>
      <c r="BO21" s="176"/>
      <c r="BP21" s="177"/>
      <c r="BQ21" s="178"/>
      <c r="BR21" s="111"/>
      <c r="BS21" s="111"/>
      <c r="BT21" s="742">
        <f t="shared" si="28"/>
        <v>-0.21606911227353276</v>
      </c>
      <c r="BU21" s="92">
        <f t="shared" si="29"/>
        <v>25.486000000000004</v>
      </c>
      <c r="BV21" s="743">
        <f t="shared" si="30"/>
        <v>-7.9258199481601066E-2</v>
      </c>
      <c r="BW21" s="92">
        <f t="shared" si="31"/>
        <v>2.6328676377887632</v>
      </c>
      <c r="BX21" s="754">
        <f t="shared" si="32"/>
        <v>-0.94578686493184638</v>
      </c>
      <c r="BY21" s="93">
        <f t="shared" si="33"/>
        <v>1.3433200000000001</v>
      </c>
      <c r="BZ21" s="577">
        <f t="shared" si="34"/>
        <v>-4.7062797070821838E-2</v>
      </c>
      <c r="CA21" s="92"/>
      <c r="CB21" s="578">
        <f t="shared" si="36"/>
        <v>-5.8179313424121193E-2</v>
      </c>
      <c r="CC21" s="93"/>
      <c r="CD21" s="169" t="str">
        <f t="shared" si="38"/>
        <v>OK</v>
      </c>
      <c r="CE21" s="170" t="str">
        <f t="shared" si="39"/>
        <v>OK</v>
      </c>
      <c r="CG21" s="95">
        <f t="shared" si="40"/>
        <v>0.34425073138501716</v>
      </c>
      <c r="CH21" s="76">
        <f t="shared" si="41"/>
        <v>0.34425073138501716</v>
      </c>
      <c r="CI21" s="33">
        <f t="shared" si="42"/>
        <v>0</v>
      </c>
      <c r="CJ21" s="76">
        <f t="shared" si="6"/>
        <v>0.68850146277003432</v>
      </c>
      <c r="CK21" s="97">
        <f t="shared" si="7"/>
        <v>0.68850146277003432</v>
      </c>
      <c r="CL21" s="98">
        <f t="shared" si="43"/>
        <v>5.6058127400000046</v>
      </c>
      <c r="CM21" s="76">
        <f t="shared" si="44"/>
        <v>0.64349999999999952</v>
      </c>
      <c r="CN21" s="76">
        <f t="shared" si="45"/>
        <v>0.32000000000000006</v>
      </c>
      <c r="CO21" s="76">
        <f t="shared" si="8"/>
        <v>6.2493127400000041</v>
      </c>
      <c r="CP21" s="47">
        <f t="shared" si="46"/>
        <v>6.5693127400000044</v>
      </c>
      <c r="CQ21" s="75" t="s">
        <v>12</v>
      </c>
      <c r="CR21" s="96"/>
    </row>
    <row r="22" spans="1:96" ht="24.75" customHeight="1" x14ac:dyDescent="0.25">
      <c r="A22" s="142">
        <v>46110.41666383102</v>
      </c>
      <c r="B22" s="142">
        <v>46110.458334027775</v>
      </c>
      <c r="C22" s="90">
        <f t="shared" si="0"/>
        <v>1.0000847221235745</v>
      </c>
      <c r="D22" s="258" cm="1">
        <f t="array" ref="D22">_xll.PITimeDat($D$7,A22,"","interpolated")</f>
        <v>15.422246353952612</v>
      </c>
      <c r="E22" s="674" cm="1">
        <f t="array" ref="E22">_xll.PITimeDat($E$7,A22,"","interpolated")</f>
        <v>5.0017555773945378E-2</v>
      </c>
      <c r="F22" s="674" cm="1">
        <f t="array" ref="F22">_xll.PITimeDat($F$7,A22,"","interpolated")</f>
        <v>5.0464212360700679E-2</v>
      </c>
      <c r="G22" s="258" cm="1">
        <f t="array" ref="G22">_xll.PITimeDat($G$7,A22,"","interpolated")</f>
        <v>0.48436079446192443</v>
      </c>
      <c r="H22" s="669">
        <f>'MPFM_Horario_29&amp;30_03'!O14</f>
        <v>105.27</v>
      </c>
      <c r="I22" s="572">
        <f>'MPFM_Horario_29&amp;30_03'!N14</f>
        <v>0</v>
      </c>
      <c r="J22" s="572">
        <f>'MPFM_Horario_29&amp;30_03'!Q14</f>
        <v>9.6000000000000002E-2</v>
      </c>
      <c r="K22" s="572">
        <f>'MPFM_Horario_29&amp;30_03'!P14</f>
        <v>105.27</v>
      </c>
      <c r="L22" s="573">
        <f t="shared" si="9"/>
        <v>105.366</v>
      </c>
      <c r="M22" s="670">
        <v>1.00953293661294</v>
      </c>
      <c r="N22" s="235">
        <v>1</v>
      </c>
      <c r="O22" s="235">
        <v>1</v>
      </c>
      <c r="P22" s="673">
        <v>1.00953293661294</v>
      </c>
      <c r="Q22" s="234">
        <f t="shared" si="10"/>
        <v>106.27353223724418</v>
      </c>
      <c r="R22" s="243">
        <f t="shared" si="11"/>
        <v>0</v>
      </c>
      <c r="S22" s="244">
        <f t="shared" si="12"/>
        <v>9.6000000000000002E-2</v>
      </c>
      <c r="T22" s="672">
        <f t="shared" si="13"/>
        <v>106.27353223724418</v>
      </c>
      <c r="U22" s="244">
        <f t="shared" si="14"/>
        <v>106.36953223724419</v>
      </c>
      <c r="V22" s="394">
        <f>'MPFM_Horario_29&amp;30_03'!AR14</f>
        <v>622.17999999999995</v>
      </c>
      <c r="W22" s="239">
        <f>'MPFM_Horario_29&amp;30_03'!AS14</f>
        <v>74.56</v>
      </c>
      <c r="X22" s="237">
        <f>'MPFM_Horario_29&amp;30_03'!AU14</f>
        <v>635.82000000000005</v>
      </c>
      <c r="Y22" s="237">
        <f>'MPFM_Horario_29&amp;30_03'!AT14</f>
        <v>575.61</v>
      </c>
      <c r="Z22" s="524">
        <f>'MPFM_Horario_29&amp;30_03'!AV14</f>
        <v>997.05</v>
      </c>
      <c r="AA22" s="237">
        <f>'MPFM_Horario_29&amp;30_03'!AI14</f>
        <v>79.602000000000004</v>
      </c>
      <c r="AB22" s="243">
        <f>'MPFM_Horario_29&amp;30_03'!AH14</f>
        <v>26.667999999999999</v>
      </c>
      <c r="AC22" s="237">
        <f>'MPFM_Horario_29&amp;30_03'!AK14</f>
        <v>9.6000000000000002E-2</v>
      </c>
      <c r="AD22" s="242">
        <f t="shared" si="15"/>
        <v>106.27000000000001</v>
      </c>
      <c r="AE22" s="250">
        <f t="shared" si="16"/>
        <v>106.36600000000001</v>
      </c>
      <c r="AF22" s="243">
        <f>'MPFM_Horario_29&amp;30_03'!AD14</f>
        <v>92.567999999999998</v>
      </c>
      <c r="AG22" s="243">
        <v>30.619</v>
      </c>
      <c r="AH22" s="244">
        <f>'MPFM_Horario_29&amp;30_03'!AF14</f>
        <v>7.6999999999999999E-2</v>
      </c>
      <c r="AI22" s="109"/>
      <c r="AJ22" s="91">
        <f>SEP_29_03_OLEO!E15</f>
        <v>42.3</v>
      </c>
      <c r="AK22" s="94">
        <f>SEP_29_03_OLEO!D15</f>
        <v>88.545020000000008</v>
      </c>
      <c r="AL22" s="91">
        <f>SEP_29_03_OLEO!I15</f>
        <v>111.39700000000001</v>
      </c>
      <c r="AM22" s="167">
        <v>768.13</v>
      </c>
      <c r="AN22" s="93">
        <f t="shared" si="17"/>
        <v>85.567377610000008</v>
      </c>
      <c r="AO22" s="735">
        <f t="shared" si="18"/>
        <v>88.626339230000013</v>
      </c>
      <c r="AP22" s="92">
        <f>SEP_29_03_GAS!I15</f>
        <v>21.562200000000001</v>
      </c>
      <c r="AQ22" s="92">
        <f>SEP_29_03_AGUA!J15</f>
        <v>1.7250000000000001</v>
      </c>
      <c r="AR22" s="92">
        <f t="shared" si="19"/>
        <v>107.12957761000001</v>
      </c>
      <c r="AS22" s="93">
        <f t="shared" si="20"/>
        <v>108.85457761000001</v>
      </c>
      <c r="AT22" s="281">
        <f t="shared" si="21"/>
        <v>-0.7990747204028148</v>
      </c>
      <c r="AU22" s="282">
        <f t="shared" si="22"/>
        <v>-2.2829038771884691</v>
      </c>
      <c r="AV22" s="145">
        <v>72.69</v>
      </c>
      <c r="AW22" s="92">
        <v>0.84030000000000005</v>
      </c>
      <c r="AX22" s="93">
        <v>0.2</v>
      </c>
      <c r="AY22" s="545">
        <f>SEP_29_03_OLEO!J15*(1-AX22/100)</f>
        <v>109.90774399999999</v>
      </c>
      <c r="AZ22" s="153">
        <f t="shared" si="23"/>
        <v>92.355477283200003</v>
      </c>
      <c r="BA22" s="727">
        <v>861.88333333333298</v>
      </c>
      <c r="BB22" s="153">
        <f t="shared" si="47"/>
        <v>79.599646612435336</v>
      </c>
      <c r="BC22" s="544">
        <f t="shared" si="48"/>
        <v>6713.3196437158076</v>
      </c>
      <c r="BD22" s="153">
        <f>(SEP_29_03_GAS!H16+BC22)/1000</f>
        <v>31.593219643715809</v>
      </c>
      <c r="BE22" s="153">
        <f t="shared" si="24"/>
        <v>25.647375706768493</v>
      </c>
      <c r="BF22" s="544">
        <f>SEP_29_03_OLEO!J15*(AX22/100)</f>
        <v>0.22025600000000001</v>
      </c>
      <c r="BG22" s="153">
        <f>SEP_29_03_AGUA!K15+'5.1 TotalHorario_Acomp28&amp;29_03'!BF22</f>
        <v>1.9492560000000001</v>
      </c>
      <c r="BH22" s="589">
        <f t="shared" si="25"/>
        <v>1.9443828600000002</v>
      </c>
      <c r="BI22" s="548">
        <f t="shared" si="26"/>
        <v>105.24702231920384</v>
      </c>
      <c r="BJ22" s="546">
        <f t="shared" si="27"/>
        <v>107.19140517920384</v>
      </c>
      <c r="BK22" s="111"/>
      <c r="BL22" s="176"/>
      <c r="BM22" s="177"/>
      <c r="BN22" s="177"/>
      <c r="BO22" s="176"/>
      <c r="BP22" s="177"/>
      <c r="BQ22" s="178"/>
      <c r="BR22" s="111"/>
      <c r="BS22" s="111"/>
      <c r="BT22" s="742">
        <f t="shared" si="28"/>
        <v>-0.16902609585536421</v>
      </c>
      <c r="BU22" s="92">
        <f t="shared" si="29"/>
        <v>18.829000000000008</v>
      </c>
      <c r="BV22" s="743">
        <f t="shared" si="30"/>
        <v>-3.0836352062319494E-2</v>
      </c>
      <c r="BW22" s="92">
        <f t="shared" si="31"/>
        <v>0.97421964371580927</v>
      </c>
      <c r="BX22" s="754">
        <f t="shared" si="32"/>
        <v>-0.96049774888470263</v>
      </c>
      <c r="BY22" s="93">
        <f t="shared" si="33"/>
        <v>1.8722560000000001</v>
      </c>
      <c r="BZ22" s="577">
        <f t="shared" si="34"/>
        <v>9.7197778925619538E-3</v>
      </c>
      <c r="CA22" s="92"/>
      <c r="CB22" s="578">
        <f t="shared" si="36"/>
        <v>-7.7002925544628065E-3</v>
      </c>
      <c r="CC22" s="93"/>
      <c r="CD22" s="169" t="str">
        <f t="shared" si="38"/>
        <v>OK</v>
      </c>
      <c r="CE22" s="170" t="str">
        <f t="shared" si="39"/>
        <v>OK</v>
      </c>
      <c r="CG22" s="95">
        <f t="shared" si="40"/>
        <v>0.11609628771047653</v>
      </c>
      <c r="CH22" s="76">
        <f t="shared" si="41"/>
        <v>0.11609628771047653</v>
      </c>
      <c r="CI22" s="33">
        <f t="shared" si="42"/>
        <v>0</v>
      </c>
      <c r="CJ22" s="76">
        <f t="shared" si="6"/>
        <v>0.23219257542095306</v>
      </c>
      <c r="CK22" s="97">
        <f t="shared" si="7"/>
        <v>0.23219257542095306</v>
      </c>
      <c r="CL22" s="98">
        <f t="shared" si="43"/>
        <v>-5.0358602799999943</v>
      </c>
      <c r="CM22" s="76">
        <f t="shared" si="44"/>
        <v>0.47630000000000194</v>
      </c>
      <c r="CN22" s="76">
        <f t="shared" si="45"/>
        <v>0.33000000000000007</v>
      </c>
      <c r="CO22" s="76">
        <f t="shared" si="8"/>
        <v>-4.5595602799999924</v>
      </c>
      <c r="CP22" s="47">
        <f t="shared" si="46"/>
        <v>-4.2295602799999923</v>
      </c>
      <c r="CQ22" s="75" t="s">
        <v>12</v>
      </c>
      <c r="CR22" s="96"/>
    </row>
    <row r="23" spans="1:96" ht="24.75" customHeight="1" x14ac:dyDescent="0.25">
      <c r="A23" s="180">
        <v>46110.458330208334</v>
      </c>
      <c r="B23" s="142">
        <v>46110.500000752312</v>
      </c>
      <c r="C23" s="90">
        <f t="shared" si="0"/>
        <v>1.0000930554815568</v>
      </c>
      <c r="D23" s="258" cm="1">
        <f t="array" ref="D23">_xll.PITimeDat($D$7,A23,"","interpolated")</f>
        <v>16.732757623991073</v>
      </c>
      <c r="E23" s="674" cm="1">
        <f t="array" ref="E23">_xll.PITimeDat($E$7,A23,"","interpolated")</f>
        <v>5.0024806959615614E-2</v>
      </c>
      <c r="F23" s="674" cm="1">
        <f t="array" ref="F23">_xll.PITimeDat($F$7,A23,"","interpolated")</f>
        <v>5.0465249996848316E-2</v>
      </c>
      <c r="G23" s="258" cm="1">
        <f t="array" ref="G23">_xll.PITimeDat($G$7,A23,"","interpolated")</f>
        <v>0.57256460058474645</v>
      </c>
      <c r="H23" s="669">
        <f>'MPFM_Horario_29&amp;30_03'!O15</f>
        <v>105.099</v>
      </c>
      <c r="I23" s="572">
        <f>'MPFM_Horario_29&amp;30_03'!N15</f>
        <v>0</v>
      </c>
      <c r="J23" s="572">
        <f>'MPFM_Horario_29&amp;30_03'!Q15</f>
        <v>9.6000000000000002E-2</v>
      </c>
      <c r="K23" s="572">
        <f>'MPFM_Horario_29&amp;30_03'!P15</f>
        <v>105.099</v>
      </c>
      <c r="L23" s="573">
        <f t="shared" si="9"/>
        <v>105.19500000000001</v>
      </c>
      <c r="M23" s="670">
        <v>1.00953293661294</v>
      </c>
      <c r="N23" s="235">
        <v>1</v>
      </c>
      <c r="O23" s="235">
        <v>1</v>
      </c>
      <c r="P23" s="673">
        <v>1.00953293661294</v>
      </c>
      <c r="Q23" s="234">
        <f t="shared" si="10"/>
        <v>106.10090210508338</v>
      </c>
      <c r="R23" s="243">
        <f t="shared" si="11"/>
        <v>0</v>
      </c>
      <c r="S23" s="244">
        <f t="shared" si="12"/>
        <v>9.6000000000000002E-2</v>
      </c>
      <c r="T23" s="672">
        <f t="shared" si="13"/>
        <v>106.10090210508338</v>
      </c>
      <c r="U23" s="244">
        <f t="shared" si="14"/>
        <v>106.19690210508338</v>
      </c>
      <c r="V23" s="394">
        <f>'MPFM_Horario_29&amp;30_03'!AR15</f>
        <v>622.28</v>
      </c>
      <c r="W23" s="239">
        <f>'MPFM_Horario_29&amp;30_03'!AS15</f>
        <v>74.52</v>
      </c>
      <c r="X23" s="237">
        <f>'MPFM_Horario_29&amp;30_03'!AU15</f>
        <v>635.85</v>
      </c>
      <c r="Y23" s="237">
        <f>'MPFM_Horario_29&amp;30_03'!AT15</f>
        <v>575.64</v>
      </c>
      <c r="Z23" s="524">
        <f>'MPFM_Horario_29&amp;30_03'!AV15</f>
        <v>997.05</v>
      </c>
      <c r="AA23" s="237">
        <f>'MPFM_Horario_29&amp;30_03'!AI15</f>
        <v>79.472999999999999</v>
      </c>
      <c r="AB23" s="243">
        <f>'MPFM_Horario_29&amp;30_03'!AH15</f>
        <v>26.625</v>
      </c>
      <c r="AC23" s="237">
        <f>'MPFM_Horario_29&amp;30_03'!AK15</f>
        <v>9.6000000000000002E-2</v>
      </c>
      <c r="AD23" s="242">
        <f t="shared" si="15"/>
        <v>106.098</v>
      </c>
      <c r="AE23" s="250">
        <f t="shared" si="16"/>
        <v>106.194</v>
      </c>
      <c r="AF23" s="243">
        <f>'MPFM_Horario_29&amp;30_03'!AD15</f>
        <v>92.418000000000006</v>
      </c>
      <c r="AG23" s="243">
        <v>30.57</v>
      </c>
      <c r="AH23" s="244">
        <f>'MPFM_Horario_29&amp;30_03'!AF15</f>
        <v>7.6999999999999999E-2</v>
      </c>
      <c r="AI23" s="109"/>
      <c r="AJ23" s="91">
        <f>SEP_29_03_OLEO!E16</f>
        <v>42.22</v>
      </c>
      <c r="AK23" s="94">
        <f>SEP_29_03_OLEO!D16</f>
        <v>88.4131</v>
      </c>
      <c r="AL23" s="91">
        <f>SEP_29_03_OLEO!I16</f>
        <v>110.297</v>
      </c>
      <c r="AM23" s="167">
        <v>768.13</v>
      </c>
      <c r="AN23" s="93">
        <f t="shared" si="17"/>
        <v>84.722434609999993</v>
      </c>
      <c r="AO23" s="735">
        <f t="shared" si="18"/>
        <v>87.751190230000006</v>
      </c>
      <c r="AP23" s="92">
        <f>SEP_29_03_GAS!I16</f>
        <v>20.555599999999998</v>
      </c>
      <c r="AQ23" s="92">
        <f>SEP_29_03_AGUA!J16</f>
        <v>1.8340000000000001</v>
      </c>
      <c r="AR23" s="92">
        <f t="shared" si="19"/>
        <v>105.27803460999999</v>
      </c>
      <c r="AS23" s="93">
        <f t="shared" si="20"/>
        <v>107.11203460999999</v>
      </c>
      <c r="AT23" s="281">
        <f t="shared" si="21"/>
        <v>0.78161365581308484</v>
      </c>
      <c r="AU23" s="282">
        <f t="shared" si="22"/>
        <v>-0.85436945367404205</v>
      </c>
      <c r="AV23" s="145">
        <v>72.69</v>
      </c>
      <c r="AW23" s="92">
        <v>0.84030000000000005</v>
      </c>
      <c r="AX23" s="93">
        <v>0.2</v>
      </c>
      <c r="AY23" s="545">
        <f>SEP_29_03_OLEO!J16*(1-AX23/100)</f>
        <v>108.82790800000001</v>
      </c>
      <c r="AZ23" s="153">
        <f t="shared" si="23"/>
        <v>91.448091092400006</v>
      </c>
      <c r="BA23" s="727">
        <v>861.88333333333298</v>
      </c>
      <c r="BB23" s="153">
        <f t="shared" si="47"/>
        <v>78.817585577687993</v>
      </c>
      <c r="BC23" s="544">
        <f t="shared" si="48"/>
        <v>6647.3617415065564</v>
      </c>
      <c r="BD23" s="153">
        <f>(SEP_29_03_GAS!H17+BC23)/1000</f>
        <v>31.397461741506554</v>
      </c>
      <c r="BE23" s="153">
        <f t="shared" si="24"/>
        <v>25.488459441755023</v>
      </c>
      <c r="BF23" s="544">
        <f>SEP_29_03_OLEO!J16*(AX23/100)</f>
        <v>0.21809200000000001</v>
      </c>
      <c r="BG23" s="153">
        <f>SEP_29_03_AGUA!K16+'5.1 TotalHorario_Acomp28&amp;29_03'!BF23</f>
        <v>2.0550920000000001</v>
      </c>
      <c r="BH23" s="589">
        <f t="shared" si="25"/>
        <v>2.0499542700000002</v>
      </c>
      <c r="BI23" s="548">
        <f t="shared" si="26"/>
        <v>104.30604501944302</v>
      </c>
      <c r="BJ23" s="546">
        <f t="shared" si="27"/>
        <v>106.35599928944302</v>
      </c>
      <c r="BK23" s="111"/>
      <c r="BL23" s="176"/>
      <c r="BM23" s="177"/>
      <c r="BN23" s="177"/>
      <c r="BO23" s="176"/>
      <c r="BP23" s="177"/>
      <c r="BQ23" s="178"/>
      <c r="BR23" s="111"/>
      <c r="BS23" s="111"/>
      <c r="BT23" s="742">
        <f t="shared" si="28"/>
        <v>-0.16209869715404768</v>
      </c>
      <c r="BU23" s="92">
        <f t="shared" si="29"/>
        <v>17.878999999999991</v>
      </c>
      <c r="BV23" s="743">
        <f t="shared" si="30"/>
        <v>-2.6354415153651445E-2</v>
      </c>
      <c r="BW23" s="92">
        <f t="shared" si="31"/>
        <v>0.82746174150655349</v>
      </c>
      <c r="BX23" s="754">
        <f t="shared" si="32"/>
        <v>-0.96253209102074266</v>
      </c>
      <c r="BY23" s="93">
        <f t="shared" si="33"/>
        <v>1.9780920000000002</v>
      </c>
      <c r="BZ23" s="577">
        <f t="shared" si="34"/>
        <v>1.7179780713792336E-2</v>
      </c>
      <c r="CA23" s="92"/>
      <c r="CB23" s="578">
        <f t="shared" si="36"/>
        <v>-1.5231796092869399E-3</v>
      </c>
      <c r="CC23" s="93"/>
      <c r="CD23" s="169" t="str">
        <f t="shared" si="38"/>
        <v>OK</v>
      </c>
      <c r="CE23" s="170" t="str">
        <f t="shared" si="39"/>
        <v>OK</v>
      </c>
      <c r="CG23" s="95">
        <f t="shared" si="40"/>
        <v>-0.17263013216080481</v>
      </c>
      <c r="CH23" s="76">
        <f t="shared" si="41"/>
        <v>-0.17263013216080481</v>
      </c>
      <c r="CI23" s="33">
        <f t="shared" si="42"/>
        <v>0</v>
      </c>
      <c r="CJ23" s="76">
        <f t="shared" si="6"/>
        <v>-0.34526026432160961</v>
      </c>
      <c r="CK23" s="97">
        <f t="shared" si="7"/>
        <v>-0.34526026432160961</v>
      </c>
      <c r="CL23" s="98">
        <f t="shared" si="43"/>
        <v>-0.84494300000001488</v>
      </c>
      <c r="CM23" s="76">
        <f t="shared" si="44"/>
        <v>-1.0066000000000024</v>
      </c>
      <c r="CN23" s="76">
        <f t="shared" si="45"/>
        <v>0.10899999999999999</v>
      </c>
      <c r="CO23" s="76">
        <f t="shared" si="8"/>
        <v>-1.8515430000000173</v>
      </c>
      <c r="CP23" s="47">
        <f t="shared" si="46"/>
        <v>-1.7425430000000173</v>
      </c>
      <c r="CQ23" s="75" t="s">
        <v>12</v>
      </c>
      <c r="CR23" s="96"/>
    </row>
    <row r="24" spans="1:96" ht="24.75" customHeight="1" x14ac:dyDescent="0.25">
      <c r="A24" s="142">
        <v>46110.499996585648</v>
      </c>
      <c r="B24" s="142">
        <v>46110.541667476849</v>
      </c>
      <c r="C24" s="90">
        <f t="shared" si="0"/>
        <v>1.0001013888395391</v>
      </c>
      <c r="D24" s="258" cm="1">
        <f t="array" ref="D24">_xll.PITimeDat($D$7,A24,"","interpolated")</f>
        <v>16.613575656470125</v>
      </c>
      <c r="E24" s="674" cm="1">
        <f t="array" ref="E24">_xll.PITimeDat($E$7,A24,"","interpolated")</f>
        <v>5.0032058145255118E-2</v>
      </c>
      <c r="F24" s="674" cm="1">
        <f t="array" ref="F24">_xll.PITimeDat($F$7,A24,"","interpolated")</f>
        <v>5.0466287632991554E-2</v>
      </c>
      <c r="G24" s="258" cm="1">
        <f t="array" ref="G24">_xll.PITimeDat($G$7,A24,"","interpolated")</f>
        <v>0.66076840633370959</v>
      </c>
      <c r="H24" s="669">
        <f>'MPFM_Horario_29&amp;30_03'!O16</f>
        <v>104.89100000000001</v>
      </c>
      <c r="I24" s="572">
        <f>'MPFM_Horario_29&amp;30_03'!N16</f>
        <v>0</v>
      </c>
      <c r="J24" s="572">
        <f>'MPFM_Horario_29&amp;30_03'!Q16</f>
        <v>9.6000000000000002E-2</v>
      </c>
      <c r="K24" s="572">
        <f>'MPFM_Horario_29&amp;30_03'!P16</f>
        <v>104.89100000000001</v>
      </c>
      <c r="L24" s="573">
        <f t="shared" si="9"/>
        <v>104.98700000000001</v>
      </c>
      <c r="M24" s="670">
        <v>1.00953293661294</v>
      </c>
      <c r="N24" s="235">
        <v>1</v>
      </c>
      <c r="O24" s="235">
        <v>1</v>
      </c>
      <c r="P24" s="673">
        <v>1.00953293661294</v>
      </c>
      <c r="Q24" s="234">
        <f t="shared" si="10"/>
        <v>105.89091925426789</v>
      </c>
      <c r="R24" s="243">
        <f t="shared" si="11"/>
        <v>0</v>
      </c>
      <c r="S24" s="244">
        <f t="shared" si="12"/>
        <v>9.6000000000000002E-2</v>
      </c>
      <c r="T24" s="672">
        <f t="shared" si="13"/>
        <v>105.89091925426789</v>
      </c>
      <c r="U24" s="244">
        <f t="shared" si="14"/>
        <v>105.98691925426789</v>
      </c>
      <c r="V24" s="394">
        <f>'MPFM_Horario_29&amp;30_03'!AR16</f>
        <v>622.39</v>
      </c>
      <c r="W24" s="239">
        <f>'MPFM_Horario_29&amp;30_03'!AS16</f>
        <v>74.47</v>
      </c>
      <c r="X24" s="237">
        <f>'MPFM_Horario_29&amp;30_03'!AU16</f>
        <v>635.9</v>
      </c>
      <c r="Y24" s="237">
        <f>'MPFM_Horario_29&amp;30_03'!AT16</f>
        <v>575.67999999999995</v>
      </c>
      <c r="Z24" s="524">
        <f>'MPFM_Horario_29&amp;30_03'!AV16</f>
        <v>997.05</v>
      </c>
      <c r="AA24" s="237">
        <f>'MPFM_Horario_29&amp;30_03'!AI16</f>
        <v>79.316000000000003</v>
      </c>
      <c r="AB24" s="243">
        <f>'MPFM_Horario_29&amp;30_03'!AH16</f>
        <v>26.571999999999999</v>
      </c>
      <c r="AC24" s="237">
        <f>'MPFM_Horario_29&amp;30_03'!AK16</f>
        <v>9.6000000000000002E-2</v>
      </c>
      <c r="AD24" s="242">
        <f t="shared" si="15"/>
        <v>105.88800000000001</v>
      </c>
      <c r="AE24" s="250">
        <f t="shared" si="16"/>
        <v>105.98400000000001</v>
      </c>
      <c r="AF24" s="243">
        <f>'MPFM_Horario_29&amp;30_03'!AD16</f>
        <v>92.234999999999999</v>
      </c>
      <c r="AG24" s="243">
        <v>30.509</v>
      </c>
      <c r="AH24" s="244">
        <f>'MPFM_Horario_29&amp;30_03'!AF16</f>
        <v>7.6999999999999999E-2</v>
      </c>
      <c r="AI24" s="109"/>
      <c r="AJ24" s="91">
        <f>SEP_29_03_OLEO!E17</f>
        <v>42.07</v>
      </c>
      <c r="AK24" s="94">
        <f>SEP_29_03_OLEO!D17</f>
        <v>88.540999999999997</v>
      </c>
      <c r="AL24" s="91">
        <f>SEP_29_03_OLEO!I17</f>
        <v>110.717</v>
      </c>
      <c r="AM24" s="167">
        <v>768.13</v>
      </c>
      <c r="AN24" s="93">
        <f t="shared" si="17"/>
        <v>85.045049210000002</v>
      </c>
      <c r="AO24" s="735">
        <f t="shared" si="18"/>
        <v>88.085338030000003</v>
      </c>
      <c r="AP24" s="92">
        <f>SEP_29_03_GAS!I17</f>
        <v>20.4483</v>
      </c>
      <c r="AQ24" s="92">
        <f>SEP_29_03_AGUA!J17</f>
        <v>1.8660000000000001</v>
      </c>
      <c r="AR24" s="92">
        <f t="shared" si="19"/>
        <v>105.49334921000001</v>
      </c>
      <c r="AS24" s="93">
        <f t="shared" si="20"/>
        <v>107.35934921</v>
      </c>
      <c r="AT24" s="281">
        <f t="shared" si="21"/>
        <v>0.37686740182687473</v>
      </c>
      <c r="AU24" s="282">
        <f t="shared" si="22"/>
        <v>-1.278351597537708</v>
      </c>
      <c r="AV24" s="145">
        <v>72.69</v>
      </c>
      <c r="AW24" s="92">
        <v>0.84030000000000005</v>
      </c>
      <c r="AX24" s="93">
        <v>0.2</v>
      </c>
      <c r="AY24" s="545">
        <f>SEP_29_03_OLEO!J17*(1-AX24/100)</f>
        <v>109.257048</v>
      </c>
      <c r="AZ24" s="153">
        <f t="shared" si="23"/>
        <v>91.808697434400003</v>
      </c>
      <c r="BA24" s="727">
        <v>861.88333333333298</v>
      </c>
      <c r="BB24" s="153">
        <f t="shared" si="47"/>
        <v>79.128386173752091</v>
      </c>
      <c r="BC24" s="544">
        <f t="shared" si="48"/>
        <v>6673.5742165065358</v>
      </c>
      <c r="BD24" s="153">
        <f>(SEP_29_03_GAS!H18+BC24)/1000</f>
        <v>31.429074216506535</v>
      </c>
      <c r="BE24" s="153">
        <f t="shared" si="24"/>
        <v>25.514122448960006</v>
      </c>
      <c r="BF24" s="544">
        <f>SEP_29_03_OLEO!J17*(AX24/100)</f>
        <v>0.21895200000000001</v>
      </c>
      <c r="BG24" s="153">
        <f>SEP_29_03_AGUA!K17+'5.1 TotalHorario_Acomp28&amp;29_03'!BF24</f>
        <v>2.087952</v>
      </c>
      <c r="BH24" s="589">
        <f t="shared" si="25"/>
        <v>2.0827321200000002</v>
      </c>
      <c r="BI24" s="548">
        <f t="shared" si="26"/>
        <v>104.6425086227121</v>
      </c>
      <c r="BJ24" s="546">
        <f t="shared" si="27"/>
        <v>106.7252407427121</v>
      </c>
      <c r="BK24" s="111"/>
      <c r="BL24" s="176"/>
      <c r="BM24" s="177"/>
      <c r="BN24" s="177"/>
      <c r="BO24" s="176"/>
      <c r="BP24" s="177"/>
      <c r="BQ24" s="178"/>
      <c r="BR24" s="111"/>
      <c r="BS24" s="111"/>
      <c r="BT24" s="742">
        <f t="shared" si="28"/>
        <v>-0.16693010106848993</v>
      </c>
      <c r="BU24" s="92">
        <f t="shared" si="29"/>
        <v>18.481999999999999</v>
      </c>
      <c r="BV24" s="743">
        <f t="shared" si="30"/>
        <v>-2.9274620377564675E-2</v>
      </c>
      <c r="BW24" s="92">
        <f t="shared" si="31"/>
        <v>0.92007421650653498</v>
      </c>
      <c r="BX24" s="754">
        <f t="shared" si="32"/>
        <v>-0.9631217575882971</v>
      </c>
      <c r="BY24" s="93">
        <f t="shared" si="33"/>
        <v>2.0109520000000001</v>
      </c>
      <c r="BZ24" s="577">
        <f t="shared" si="34"/>
        <v>1.1902346318727108E-2</v>
      </c>
      <c r="CA24" s="92"/>
      <c r="CB24" s="578">
        <f t="shared" si="36"/>
        <v>-6.9453180667826686E-3</v>
      </c>
      <c r="CC24" s="93"/>
      <c r="CD24" s="169" t="str">
        <f t="shared" si="38"/>
        <v>OK</v>
      </c>
      <c r="CE24" s="170" t="str">
        <f t="shared" si="39"/>
        <v>OK</v>
      </c>
      <c r="CG24" s="95">
        <f t="shared" si="40"/>
        <v>-0.20998285081549284</v>
      </c>
      <c r="CH24" s="76">
        <f t="shared" si="41"/>
        <v>-0.20998285081549284</v>
      </c>
      <c r="CI24" s="33">
        <f t="shared" si="42"/>
        <v>0</v>
      </c>
      <c r="CJ24" s="76">
        <f t="shared" si="6"/>
        <v>-0.41996570163098568</v>
      </c>
      <c r="CK24" s="97">
        <f t="shared" si="7"/>
        <v>-0.41996570163098568</v>
      </c>
      <c r="CL24" s="98">
        <f t="shared" si="43"/>
        <v>0.32261460000000852</v>
      </c>
      <c r="CM24" s="76">
        <f t="shared" si="44"/>
        <v>-0.10729999999999862</v>
      </c>
      <c r="CN24" s="76">
        <f t="shared" si="45"/>
        <v>3.2000000000000028E-2</v>
      </c>
      <c r="CO24" s="76">
        <f t="shared" si="8"/>
        <v>0.2153146000000099</v>
      </c>
      <c r="CP24" s="47">
        <f t="shared" si="46"/>
        <v>0.24731460000000993</v>
      </c>
      <c r="CQ24" s="75" t="s">
        <v>12</v>
      </c>
      <c r="CR24" s="96"/>
    </row>
    <row r="25" spans="1:96" ht="24.75" customHeight="1" x14ac:dyDescent="0.25">
      <c r="A25" s="180">
        <v>46110.541662962962</v>
      </c>
      <c r="B25" s="142">
        <v>46110.583334201387</v>
      </c>
      <c r="C25" s="90">
        <f t="shared" si="0"/>
        <v>1.0001097221975215</v>
      </c>
      <c r="D25" s="258" cm="1">
        <f t="array" ref="D25">_xll.PITimeDat($D$7,A25,"","interpolated")</f>
        <v>16.781851193017722</v>
      </c>
      <c r="E25" s="674" cm="1">
        <f t="array" ref="E25">_xll.PITimeDat($E$7,A25,"","interpolated")</f>
        <v>5.0039309330925361E-2</v>
      </c>
      <c r="F25" s="674" cm="1">
        <f t="array" ref="F25">_xll.PITimeDat($F$7,A25,"","interpolated")</f>
        <v>5.0467325269139184E-2</v>
      </c>
      <c r="G25" s="258" cm="1">
        <f t="array" ref="G25">_xll.PITimeDat($G$7,A25,"","interpolated")</f>
        <v>0.74897221245653167</v>
      </c>
      <c r="H25" s="669">
        <f>'MPFM_Horario_29&amp;30_03'!O17</f>
        <v>104.84</v>
      </c>
      <c r="I25" s="572">
        <f>'MPFM_Horario_29&amp;30_03'!N17</f>
        <v>0</v>
      </c>
      <c r="J25" s="572">
        <f>'MPFM_Horario_29&amp;30_03'!Q17</f>
        <v>9.6000000000000002E-2</v>
      </c>
      <c r="K25" s="572">
        <f>'MPFM_Horario_29&amp;30_03'!P17</f>
        <v>104.84</v>
      </c>
      <c r="L25" s="573">
        <f t="shared" si="9"/>
        <v>104.93600000000001</v>
      </c>
      <c r="M25" s="670">
        <v>1.00953293661294</v>
      </c>
      <c r="N25" s="235">
        <v>1</v>
      </c>
      <c r="O25" s="235">
        <v>1</v>
      </c>
      <c r="P25" s="673">
        <v>1.00953293661294</v>
      </c>
      <c r="Q25" s="234">
        <f t="shared" si="10"/>
        <v>105.83943307450063</v>
      </c>
      <c r="R25" s="243">
        <f t="shared" si="11"/>
        <v>0</v>
      </c>
      <c r="S25" s="244">
        <f t="shared" si="12"/>
        <v>9.6000000000000002E-2</v>
      </c>
      <c r="T25" s="672">
        <f t="shared" si="13"/>
        <v>105.83943307450063</v>
      </c>
      <c r="U25" s="244">
        <f t="shared" si="14"/>
        <v>105.93543307450064</v>
      </c>
      <c r="V25" s="394">
        <f>'MPFM_Horario_29&amp;30_03'!AR17</f>
        <v>622.45000000000005</v>
      </c>
      <c r="W25" s="239">
        <f>'MPFM_Horario_29&amp;30_03'!AS17</f>
        <v>74.44</v>
      </c>
      <c r="X25" s="237">
        <f>'MPFM_Horario_29&amp;30_03'!AU17</f>
        <v>635.91999999999996</v>
      </c>
      <c r="Y25" s="237">
        <f>'MPFM_Horario_29&amp;30_03'!AT17</f>
        <v>575.70000000000005</v>
      </c>
      <c r="Z25" s="524">
        <f>'MPFM_Horario_29&amp;30_03'!AV17</f>
        <v>997.05</v>
      </c>
      <c r="AA25" s="237">
        <f>'MPFM_Horario_29&amp;30_03'!AI17</f>
        <v>79.277000000000001</v>
      </c>
      <c r="AB25" s="243">
        <f>'MPFM_Horario_29&amp;30_03'!AH17</f>
        <v>26.559000000000001</v>
      </c>
      <c r="AC25" s="237">
        <f>'MPFM_Horario_29&amp;30_03'!AK17</f>
        <v>9.6000000000000002E-2</v>
      </c>
      <c r="AD25" s="242">
        <f t="shared" si="15"/>
        <v>105.836</v>
      </c>
      <c r="AE25" s="250">
        <f t="shared" si="16"/>
        <v>105.932</v>
      </c>
      <c r="AF25" s="243">
        <f>'MPFM_Horario_29&amp;30_03'!AD17</f>
        <v>92.19</v>
      </c>
      <c r="AG25" s="243">
        <v>30.494</v>
      </c>
      <c r="AH25" s="244">
        <f>'MPFM_Horario_29&amp;30_03'!AF17</f>
        <v>7.6999999999999999E-2</v>
      </c>
      <c r="AI25" s="109"/>
      <c r="AJ25" s="91">
        <f>SEP_29_03_OLEO!E18</f>
        <v>42.04</v>
      </c>
      <c r="AK25" s="94">
        <f>SEP_29_03_OLEO!D18</f>
        <v>88.539879999999997</v>
      </c>
      <c r="AL25" s="91">
        <f>SEP_29_03_OLEO!I18</f>
        <v>110.97799999999999</v>
      </c>
      <c r="AM25" s="167">
        <v>768.13</v>
      </c>
      <c r="AN25" s="93">
        <f t="shared" si="17"/>
        <v>85.245531139999997</v>
      </c>
      <c r="AO25" s="735">
        <f t="shared" si="18"/>
        <v>88.292987019999998</v>
      </c>
      <c r="AP25" s="92">
        <f>SEP_29_03_GAS!I18</f>
        <v>20.4528</v>
      </c>
      <c r="AQ25" s="92">
        <f>SEP_29_03_AGUA!J18</f>
        <v>1.772</v>
      </c>
      <c r="AR25" s="92">
        <f t="shared" si="19"/>
        <v>105.69833113999999</v>
      </c>
      <c r="AS25" s="93">
        <f t="shared" si="20"/>
        <v>107.47033114</v>
      </c>
      <c r="AT25" s="281">
        <f t="shared" si="21"/>
        <v>0.13349495018397661</v>
      </c>
      <c r="AU25" s="282">
        <f t="shared" si="22"/>
        <v>-1.4282063237526232</v>
      </c>
      <c r="AV25" s="145">
        <v>72.69</v>
      </c>
      <c r="AW25" s="92">
        <v>0.84030000000000005</v>
      </c>
      <c r="AX25" s="93">
        <v>0.06</v>
      </c>
      <c r="AY25" s="545">
        <f>SEP_29_03_OLEO!J18*(1-AX25/100)</f>
        <v>109.67115779999999</v>
      </c>
      <c r="AZ25" s="153">
        <f t="shared" si="23"/>
        <v>92.156673899339992</v>
      </c>
      <c r="BA25" s="727">
        <v>861.88333333333298</v>
      </c>
      <c r="BB25" s="153">
        <f t="shared" si="47"/>
        <v>79.428301289276121</v>
      </c>
      <c r="BC25" s="544">
        <f t="shared" si="48"/>
        <v>6698.8686257430236</v>
      </c>
      <c r="BD25" s="153">
        <f>(SEP_29_03_GAS!H19+BC25)/1000</f>
        <v>31.485768625743024</v>
      </c>
      <c r="BE25" s="153">
        <f t="shared" si="24"/>
        <v>25.560146970378188</v>
      </c>
      <c r="BF25" s="544">
        <f>SEP_29_03_OLEO!J18*(AX25/100)</f>
        <v>6.584219999999999E-2</v>
      </c>
      <c r="BG25" s="153">
        <f>SEP_29_03_AGUA!K18+'5.1 TotalHorario_Acomp28&amp;29_03'!BF25</f>
        <v>1.8408422</v>
      </c>
      <c r="BH25" s="589">
        <f t="shared" si="25"/>
        <v>1.8362400944999999</v>
      </c>
      <c r="BI25" s="548">
        <f t="shared" si="26"/>
        <v>104.98844825965431</v>
      </c>
      <c r="BJ25" s="546">
        <f t="shared" si="27"/>
        <v>106.8246883541543</v>
      </c>
      <c r="BK25" s="111"/>
      <c r="BL25" s="176"/>
      <c r="BM25" s="177"/>
      <c r="BN25" s="177"/>
      <c r="BO25" s="176"/>
      <c r="BP25" s="177"/>
      <c r="BQ25" s="178"/>
      <c r="BR25" s="111"/>
      <c r="BS25" s="111"/>
      <c r="BT25" s="742">
        <f t="shared" si="28"/>
        <v>-0.1692948151885959</v>
      </c>
      <c r="BU25" s="92">
        <f t="shared" si="29"/>
        <v>18.787999999999997</v>
      </c>
      <c r="BV25" s="743">
        <f t="shared" si="30"/>
        <v>-3.1498949177062308E-2</v>
      </c>
      <c r="BW25" s="92">
        <f t="shared" si="31"/>
        <v>0.99176862574302405</v>
      </c>
      <c r="BX25" s="754">
        <f t="shared" si="32"/>
        <v>-0.95817131962750524</v>
      </c>
      <c r="BY25" s="93">
        <f t="shared" si="33"/>
        <v>1.7638422</v>
      </c>
      <c r="BZ25" s="577">
        <f t="shared" si="34"/>
        <v>8.0728094794728644E-3</v>
      </c>
      <c r="CA25" s="92"/>
      <c r="CB25" s="578">
        <f t="shared" si="36"/>
        <v>-8.3565734467184738E-3</v>
      </c>
      <c r="CC25" s="93"/>
      <c r="CD25" s="169" t="str">
        <f t="shared" si="38"/>
        <v>OK</v>
      </c>
      <c r="CE25" s="170" t="str">
        <f t="shared" si="39"/>
        <v>OK</v>
      </c>
      <c r="CG25" s="95">
        <f t="shared" si="40"/>
        <v>-5.1486179767252338E-2</v>
      </c>
      <c r="CH25" s="76">
        <f t="shared" si="41"/>
        <v>-5.1486179767252338E-2</v>
      </c>
      <c r="CI25" s="33">
        <f t="shared" si="42"/>
        <v>0</v>
      </c>
      <c r="CJ25" s="76">
        <f t="shared" si="6"/>
        <v>-0.10297235953450468</v>
      </c>
      <c r="CK25" s="97">
        <f t="shared" si="7"/>
        <v>-0.10297235953450468</v>
      </c>
      <c r="CL25" s="98">
        <f t="shared" si="43"/>
        <v>0.20048192999999515</v>
      </c>
      <c r="CM25" s="76">
        <f t="shared" si="44"/>
        <v>4.5000000000001705E-3</v>
      </c>
      <c r="CN25" s="76">
        <f t="shared" si="45"/>
        <v>-9.4000000000000083E-2</v>
      </c>
      <c r="CO25" s="76">
        <f t="shared" si="8"/>
        <v>0.20498192999999532</v>
      </c>
      <c r="CP25" s="47">
        <f t="shared" si="46"/>
        <v>0.11098192999999523</v>
      </c>
      <c r="CQ25" s="75" t="s">
        <v>12</v>
      </c>
      <c r="CR25" s="96"/>
    </row>
    <row r="26" spans="1:96" ht="24.75" customHeight="1" x14ac:dyDescent="0.25">
      <c r="A26" s="142">
        <v>46110.583329340276</v>
      </c>
      <c r="B26" s="142">
        <v>46110.625000925924</v>
      </c>
      <c r="C26" s="90">
        <f t="shared" si="0"/>
        <v>1.0001180555555038</v>
      </c>
      <c r="D26" s="258" cm="1">
        <f t="array" ref="D26">_xll.PITimeDat($D$7,A26,"","interpolated")</f>
        <v>16.775297406668102</v>
      </c>
      <c r="E26" s="674" cm="1">
        <f t="array" ref="E26">_xll.PITimeDat($E$7,A26,"","interpolated")</f>
        <v>5.0046560516595597E-2</v>
      </c>
      <c r="F26" s="674" cm="1">
        <f t="array" ref="F26">_xll.PITimeDat($F$7,A26,"","interpolated")</f>
        <v>5.046836290528682E-2</v>
      </c>
      <c r="G26" s="258" cm="1">
        <f t="array" ref="G26">_xll.PITimeDat($G$7,A26,"","interpolated")</f>
        <v>0.83717601857935364</v>
      </c>
      <c r="H26" s="669">
        <f>'MPFM_Horario_29&amp;30_03'!O18</f>
        <v>104.821</v>
      </c>
      <c r="I26" s="572">
        <f>'MPFM_Horario_29&amp;30_03'!N18</f>
        <v>0</v>
      </c>
      <c r="J26" s="572">
        <f>'MPFM_Horario_29&amp;30_03'!Q18</f>
        <v>9.6000000000000002E-2</v>
      </c>
      <c r="K26" s="572">
        <f>'MPFM_Horario_29&amp;30_03'!P18</f>
        <v>104.821</v>
      </c>
      <c r="L26" s="573">
        <f t="shared" si="9"/>
        <v>104.917</v>
      </c>
      <c r="M26" s="670">
        <v>1.00953293661294</v>
      </c>
      <c r="N26" s="235">
        <v>1</v>
      </c>
      <c r="O26" s="235">
        <v>1</v>
      </c>
      <c r="P26" s="673">
        <v>1.00953293661294</v>
      </c>
      <c r="Q26" s="234">
        <f t="shared" si="10"/>
        <v>105.82025194870498</v>
      </c>
      <c r="R26" s="243">
        <f t="shared" si="11"/>
        <v>0</v>
      </c>
      <c r="S26" s="244">
        <f t="shared" si="12"/>
        <v>9.6000000000000002E-2</v>
      </c>
      <c r="T26" s="672">
        <f t="shared" si="13"/>
        <v>105.82025194870498</v>
      </c>
      <c r="U26" s="244">
        <f t="shared" si="14"/>
        <v>105.91625194870498</v>
      </c>
      <c r="V26" s="394">
        <f>'MPFM_Horario_29&amp;30_03'!AR18</f>
        <v>622.51</v>
      </c>
      <c r="W26" s="239">
        <f>'MPFM_Horario_29&amp;30_03'!AS18</f>
        <v>74.44</v>
      </c>
      <c r="X26" s="237">
        <f>'MPFM_Horario_29&amp;30_03'!AU18</f>
        <v>635.92999999999995</v>
      </c>
      <c r="Y26" s="237">
        <f>'MPFM_Horario_29&amp;30_03'!AT18</f>
        <v>575.70000000000005</v>
      </c>
      <c r="Z26" s="524">
        <f>'MPFM_Horario_29&amp;30_03'!AV18</f>
        <v>997.05</v>
      </c>
      <c r="AA26" s="237">
        <f>'MPFM_Horario_29&amp;30_03'!AI18</f>
        <v>79.263000000000005</v>
      </c>
      <c r="AB26" s="243">
        <f>'MPFM_Horario_29&amp;30_03'!AH18</f>
        <v>26.553999999999998</v>
      </c>
      <c r="AC26" s="237">
        <f>'MPFM_Horario_29&amp;30_03'!AK18</f>
        <v>9.6000000000000002E-2</v>
      </c>
      <c r="AD26" s="242">
        <f t="shared" si="15"/>
        <v>105.81700000000001</v>
      </c>
      <c r="AE26" s="250">
        <f t="shared" si="16"/>
        <v>105.91300000000001</v>
      </c>
      <c r="AF26" s="243">
        <f>'MPFM_Horario_29&amp;30_03'!AD18</f>
        <v>92.174000000000007</v>
      </c>
      <c r="AG26" s="243">
        <v>30.489000000000001</v>
      </c>
      <c r="AH26" s="244">
        <f>'MPFM_Horario_29&amp;30_03'!AF18</f>
        <v>7.6999999999999999E-2</v>
      </c>
      <c r="AI26" s="109"/>
      <c r="AJ26" s="91">
        <f>SEP_29_03_OLEO!E19</f>
        <v>42.01</v>
      </c>
      <c r="AK26" s="94">
        <f>SEP_29_03_OLEO!D19</f>
        <v>88.536640000000006</v>
      </c>
      <c r="AL26" s="91">
        <f>SEP_29_03_OLEO!I19</f>
        <v>110.378</v>
      </c>
      <c r="AM26" s="167">
        <v>768.13</v>
      </c>
      <c r="AN26" s="93">
        <f t="shared" si="17"/>
        <v>84.784653139999989</v>
      </c>
      <c r="AO26" s="735">
        <f t="shared" si="18"/>
        <v>87.815633020000007</v>
      </c>
      <c r="AP26" s="92">
        <f>SEP_29_03_GAS!I19</f>
        <v>20.4787</v>
      </c>
      <c r="AQ26" s="92">
        <f>SEP_29_03_AGUA!J19</f>
        <v>1.7529999999999999</v>
      </c>
      <c r="AR26" s="92">
        <f t="shared" si="19"/>
        <v>105.26335313999999</v>
      </c>
      <c r="AS26" s="93">
        <f t="shared" si="20"/>
        <v>107.01635313999999</v>
      </c>
      <c r="AT26" s="281">
        <f t="shared" si="21"/>
        <v>0.52905288696656338</v>
      </c>
      <c r="AU26" s="282">
        <f t="shared" si="22"/>
        <v>-1.0279748459152249</v>
      </c>
      <c r="AV26" s="145">
        <v>72.69</v>
      </c>
      <c r="AW26" s="92">
        <v>0.84030000000000005</v>
      </c>
      <c r="AX26" s="93">
        <v>0.06</v>
      </c>
      <c r="AY26" s="545">
        <f>SEP_29_03_OLEO!J19*(1-AX26/100)</f>
        <v>109.0815118</v>
      </c>
      <c r="AZ26" s="153">
        <f t="shared" si="23"/>
        <v>91.661194365540013</v>
      </c>
      <c r="BA26" s="727">
        <v>861.88333333333298</v>
      </c>
      <c r="BB26" s="153">
        <f t="shared" si="47"/>
        <v>79.00125573708614</v>
      </c>
      <c r="BC26" s="544">
        <f t="shared" si="48"/>
        <v>6662.8522184311032</v>
      </c>
      <c r="BD26" s="153">
        <f>(SEP_29_03_GAS!H20+BC26)/1000</f>
        <v>31.405952218431104</v>
      </c>
      <c r="BE26" s="153">
        <f t="shared" si="24"/>
        <v>25.495352010922371</v>
      </c>
      <c r="BF26" s="544">
        <f>SEP_29_03_OLEO!J19*(AX26/100)</f>
        <v>6.5488199999999996E-2</v>
      </c>
      <c r="BG26" s="153">
        <f>SEP_29_03_AGUA!K19+'5.1 TotalHorario_Acomp28&amp;29_03'!BF26</f>
        <v>1.8214882000000001</v>
      </c>
      <c r="BH26" s="589">
        <f t="shared" si="25"/>
        <v>1.8169344795000002</v>
      </c>
      <c r="BI26" s="548">
        <f t="shared" si="26"/>
        <v>104.49660774800851</v>
      </c>
      <c r="BJ26" s="546">
        <f t="shared" si="27"/>
        <v>106.31354222750852</v>
      </c>
      <c r="BK26" s="111"/>
      <c r="BL26" s="176"/>
      <c r="BM26" s="177"/>
      <c r="BN26" s="177"/>
      <c r="BO26" s="176"/>
      <c r="BP26" s="177"/>
      <c r="BQ26" s="178"/>
      <c r="BR26" s="111"/>
      <c r="BS26" s="111"/>
      <c r="BT26" s="742">
        <f t="shared" si="28"/>
        <v>-0.16492416967149248</v>
      </c>
      <c r="BU26" s="92">
        <f t="shared" si="29"/>
        <v>18.203999999999994</v>
      </c>
      <c r="BV26" s="743">
        <f t="shared" si="30"/>
        <v>-2.9196765379174705E-2</v>
      </c>
      <c r="BW26" s="92">
        <f t="shared" si="31"/>
        <v>0.91695221843110275</v>
      </c>
      <c r="BX26" s="754">
        <f t="shared" si="32"/>
        <v>-0.9577268741021765</v>
      </c>
      <c r="BY26" s="93">
        <f t="shared" si="33"/>
        <v>1.7444882000000002</v>
      </c>
      <c r="BZ26" s="577">
        <f t="shared" si="34"/>
        <v>1.2635742733157374E-2</v>
      </c>
      <c r="CA26" s="92"/>
      <c r="CB26" s="578">
        <f t="shared" si="36"/>
        <v>-3.7675560339374137E-3</v>
      </c>
      <c r="CC26" s="93"/>
      <c r="CD26" s="169" t="str">
        <f t="shared" si="38"/>
        <v>OK</v>
      </c>
      <c r="CE26" s="170" t="str">
        <f t="shared" si="39"/>
        <v>OK</v>
      </c>
      <c r="CG26" s="95">
        <f t="shared" si="40"/>
        <v>-1.9181125795654452E-2</v>
      </c>
      <c r="CH26" s="76">
        <f t="shared" si="41"/>
        <v>-1.9181125795654452E-2</v>
      </c>
      <c r="CI26" s="33">
        <f t="shared" si="42"/>
        <v>0</v>
      </c>
      <c r="CJ26" s="76">
        <f t="shared" si="6"/>
        <v>-3.8362251591308905E-2</v>
      </c>
      <c r="CK26" s="97">
        <f t="shared" si="7"/>
        <v>-3.8362251591308905E-2</v>
      </c>
      <c r="CL26" s="98">
        <f t="shared" si="43"/>
        <v>-0.46087800000000811</v>
      </c>
      <c r="CM26" s="76">
        <f t="shared" si="44"/>
        <v>2.5900000000000034E-2</v>
      </c>
      <c r="CN26" s="76">
        <f t="shared" si="45"/>
        <v>-1.9000000000000128E-2</v>
      </c>
      <c r="CO26" s="76">
        <f t="shared" si="8"/>
        <v>-0.43497800000000808</v>
      </c>
      <c r="CP26" s="47">
        <f t="shared" si="46"/>
        <v>-0.45397800000000821</v>
      </c>
      <c r="CQ26" s="75" t="s">
        <v>12</v>
      </c>
      <c r="CR26" s="96"/>
    </row>
    <row r="27" spans="1:96" ht="24.75" customHeight="1" x14ac:dyDescent="0.25">
      <c r="A27" s="180">
        <v>46110.624995659724</v>
      </c>
      <c r="B27" s="142">
        <v>46110.666667650461</v>
      </c>
      <c r="C27" s="90">
        <f t="shared" si="0"/>
        <v>1.0001277776900679</v>
      </c>
      <c r="D27" s="258" cm="1">
        <f t="array" ref="D27">_xll.PITimeDat($D$7,A27,"","interpolated")</f>
        <v>16.601249096004356</v>
      </c>
      <c r="E27" s="674" cm="1">
        <f t="array" ref="E27">_xll.PITimeDat($E$7,A27,"","interpolated")</f>
        <v>5.0053811692154108E-2</v>
      </c>
      <c r="F27" s="674" cm="1">
        <f t="array" ref="F27">_xll.PITimeDat($F$7,A27,"","interpolated")</f>
        <v>5.0469400539987476E-2</v>
      </c>
      <c r="G27" s="258" cm="1">
        <f t="array" ref="G27">_xll.PITimeDat($G$7,A27,"","interpolated")</f>
        <v>0.92537970170254513</v>
      </c>
      <c r="H27" s="669">
        <f>'MPFM_Horario_29&amp;30_03'!O19</f>
        <v>104.78400000000001</v>
      </c>
      <c r="I27" s="572">
        <f>'MPFM_Horario_29&amp;30_03'!N19</f>
        <v>0</v>
      </c>
      <c r="J27" s="572">
        <f>'MPFM_Horario_29&amp;30_03'!Q19</f>
        <v>9.6000000000000002E-2</v>
      </c>
      <c r="K27" s="572">
        <f>'MPFM_Horario_29&amp;30_03'!P19</f>
        <v>104.78400000000001</v>
      </c>
      <c r="L27" s="573">
        <f t="shared" si="9"/>
        <v>104.88000000000001</v>
      </c>
      <c r="M27" s="670">
        <v>1.00953293661294</v>
      </c>
      <c r="N27" s="235">
        <v>1</v>
      </c>
      <c r="O27" s="235">
        <v>1</v>
      </c>
      <c r="P27" s="673">
        <v>1.00953293661294</v>
      </c>
      <c r="Q27" s="234">
        <f t="shared" si="10"/>
        <v>105.7828992300503</v>
      </c>
      <c r="R27" s="243">
        <f t="shared" si="11"/>
        <v>0</v>
      </c>
      <c r="S27" s="244">
        <f t="shared" si="12"/>
        <v>9.6000000000000002E-2</v>
      </c>
      <c r="T27" s="672">
        <f t="shared" si="13"/>
        <v>105.7828992300503</v>
      </c>
      <c r="U27" s="244">
        <f t="shared" si="14"/>
        <v>105.87889923005031</v>
      </c>
      <c r="V27" s="394">
        <f>'MPFM_Horario_29&amp;30_03'!AR19</f>
        <v>622.55999999999995</v>
      </c>
      <c r="W27" s="239">
        <f>'MPFM_Horario_29&amp;30_03'!AS19</f>
        <v>74.430000000000007</v>
      </c>
      <c r="X27" s="237">
        <f>'MPFM_Horario_29&amp;30_03'!AU19</f>
        <v>635.94000000000005</v>
      </c>
      <c r="Y27" s="237">
        <f>'MPFM_Horario_29&amp;30_03'!AT19</f>
        <v>575.71</v>
      </c>
      <c r="Z27" s="524">
        <f>'MPFM_Horario_29&amp;30_03'!AV19</f>
        <v>997.05</v>
      </c>
      <c r="AA27" s="237">
        <f>'MPFM_Horario_29&amp;30_03'!AI19</f>
        <v>79.234999999999999</v>
      </c>
      <c r="AB27" s="243">
        <f>'MPFM_Horario_29&amp;30_03'!AH19</f>
        <v>26.545000000000002</v>
      </c>
      <c r="AC27" s="237">
        <f>'MPFM_Horario_29&amp;30_03'!AK19</f>
        <v>9.6000000000000002E-2</v>
      </c>
      <c r="AD27" s="242">
        <f t="shared" si="15"/>
        <v>105.78</v>
      </c>
      <c r="AE27" s="250">
        <f t="shared" si="16"/>
        <v>105.876</v>
      </c>
      <c r="AF27" s="243">
        <f>'MPFM_Horario_29&amp;30_03'!AD19</f>
        <v>92.141000000000005</v>
      </c>
      <c r="AG27" s="243">
        <v>30.478000000000002</v>
      </c>
      <c r="AH27" s="244">
        <f>'MPFM_Horario_29&amp;30_03'!AF19</f>
        <v>7.6999999999999999E-2</v>
      </c>
      <c r="AI27" s="109"/>
      <c r="AJ27" s="91">
        <f>SEP_29_03_OLEO!E20</f>
        <v>41.98</v>
      </c>
      <c r="AK27" s="94">
        <f>SEP_29_03_OLEO!D20</f>
        <v>88.538389999999993</v>
      </c>
      <c r="AL27" s="91">
        <f>SEP_29_03_OLEO!I20</f>
        <v>110.221</v>
      </c>
      <c r="AM27" s="167">
        <v>768.13</v>
      </c>
      <c r="AN27" s="93">
        <f t="shared" si="17"/>
        <v>84.664056729999999</v>
      </c>
      <c r="AO27" s="735">
        <f t="shared" si="18"/>
        <v>87.690725390000011</v>
      </c>
      <c r="AP27" s="92">
        <f>SEP_29_03_GAS!I20</f>
        <v>20.442599999999999</v>
      </c>
      <c r="AQ27" s="92">
        <f>SEP_29_03_AGUA!J20</f>
        <v>1.6180000000000001</v>
      </c>
      <c r="AR27" s="92">
        <f t="shared" si="19"/>
        <v>105.10665673</v>
      </c>
      <c r="AS27" s="93">
        <f t="shared" si="20"/>
        <v>106.72465672999999</v>
      </c>
      <c r="AT27" s="281">
        <f t="shared" si="21"/>
        <v>0.64338693769649957</v>
      </c>
      <c r="AU27" s="282">
        <f t="shared" si="22"/>
        <v>-0.79246682618933084</v>
      </c>
      <c r="AV27" s="145">
        <v>72.69</v>
      </c>
      <c r="AW27" s="92">
        <v>0.84030000000000005</v>
      </c>
      <c r="AX27" s="93">
        <v>0.06</v>
      </c>
      <c r="AY27" s="545">
        <f>SEP_29_03_OLEO!J20*(1-AX27/100)</f>
        <v>108.92760419999999</v>
      </c>
      <c r="AZ27" s="153">
        <f t="shared" si="23"/>
        <v>91.531865809259997</v>
      </c>
      <c r="BA27" s="727">
        <v>861.88333333333298</v>
      </c>
      <c r="BB27" s="153">
        <f t="shared" si="47"/>
        <v>78.889789609904341</v>
      </c>
      <c r="BC27" s="544">
        <f t="shared" si="48"/>
        <v>6653.4513256751088</v>
      </c>
      <c r="BD27" s="153">
        <f>(SEP_29_03_GAS!H21+BC27)/1000</f>
        <v>31.324151325675111</v>
      </c>
      <c r="BE27" s="153">
        <f t="shared" si="24"/>
        <v>25.428946046183054</v>
      </c>
      <c r="BF27" s="544">
        <f>SEP_29_03_OLEO!J20*(AX27/100)</f>
        <v>6.539579999999999E-2</v>
      </c>
      <c r="BG27" s="153">
        <f>SEP_29_03_AGUA!K20+'5.1 TotalHorario_Acomp28&amp;29_03'!BF27</f>
        <v>1.6863957999999999</v>
      </c>
      <c r="BH27" s="589">
        <f t="shared" si="25"/>
        <v>1.6821798104999999</v>
      </c>
      <c r="BI27" s="548">
        <f t="shared" si="26"/>
        <v>104.3187356560874</v>
      </c>
      <c r="BJ27" s="546">
        <f t="shared" si="27"/>
        <v>106.0009154665874</v>
      </c>
      <c r="BK27" s="111"/>
      <c r="BL27" s="176"/>
      <c r="BM27" s="177"/>
      <c r="BN27" s="177"/>
      <c r="BO27" s="176"/>
      <c r="BP27" s="177"/>
      <c r="BQ27" s="178"/>
      <c r="BR27" s="111"/>
      <c r="BS27" s="111"/>
      <c r="BT27" s="742">
        <f t="shared" si="28"/>
        <v>-0.1640340769907731</v>
      </c>
      <c r="BU27" s="92">
        <f t="shared" si="29"/>
        <v>18.079999999999998</v>
      </c>
      <c r="BV27" s="743">
        <f t="shared" si="30"/>
        <v>-2.7012745433315333E-2</v>
      </c>
      <c r="BW27" s="92">
        <f t="shared" si="31"/>
        <v>0.84615132567510898</v>
      </c>
      <c r="BX27" s="754">
        <f t="shared" si="32"/>
        <v>-0.95434049349506211</v>
      </c>
      <c r="BY27" s="93">
        <f t="shared" si="33"/>
        <v>1.6093957999999999</v>
      </c>
      <c r="BZ27" s="577">
        <f t="shared" si="34"/>
        <v>1.40076884053697E-2</v>
      </c>
      <c r="CA27" s="92"/>
      <c r="CB27" s="578">
        <f t="shared" si="36"/>
        <v>-1.1784376204445612E-3</v>
      </c>
      <c r="CC27" s="93"/>
      <c r="CD27" s="169" t="str">
        <f t="shared" si="38"/>
        <v>OK</v>
      </c>
      <c r="CE27" s="170" t="str">
        <f t="shared" si="39"/>
        <v>OK</v>
      </c>
      <c r="CG27" s="95">
        <f t="shared" si="40"/>
        <v>-3.7352718654673822E-2</v>
      </c>
      <c r="CH27" s="76">
        <f t="shared" si="41"/>
        <v>-3.7352718654673822E-2</v>
      </c>
      <c r="CI27" s="33">
        <f t="shared" si="42"/>
        <v>0</v>
      </c>
      <c r="CJ27" s="76">
        <f t="shared" si="6"/>
        <v>-7.4705437309347644E-2</v>
      </c>
      <c r="CK27" s="97">
        <f t="shared" si="7"/>
        <v>-7.4705437309347644E-2</v>
      </c>
      <c r="CL27" s="98">
        <f t="shared" si="43"/>
        <v>-0.12059640999999033</v>
      </c>
      <c r="CM27" s="76">
        <f t="shared" si="44"/>
        <v>-3.6100000000001131E-2</v>
      </c>
      <c r="CN27" s="76">
        <f t="shared" si="45"/>
        <v>-0.13499999999999979</v>
      </c>
      <c r="CO27" s="76">
        <f t="shared" si="8"/>
        <v>-0.15669640999999146</v>
      </c>
      <c r="CP27" s="47">
        <f t="shared" si="46"/>
        <v>-0.29169640999999125</v>
      </c>
      <c r="CQ27" s="75" t="s">
        <v>12</v>
      </c>
      <c r="CR27" s="96"/>
    </row>
    <row r="28" spans="1:96" ht="24.75" customHeight="1" x14ac:dyDescent="0.25">
      <c r="A28" s="142">
        <v>46110.666662037038</v>
      </c>
      <c r="B28" s="142">
        <v>46110.708334317133</v>
      </c>
      <c r="C28" s="90">
        <f t="shared" si="0"/>
        <v>1.0001347222714685</v>
      </c>
      <c r="D28" s="258" cm="1">
        <f t="array" ref="D28">_xll.PITimeDat($D$7,A28,"","interpolated")</f>
        <v>17.033923662398593</v>
      </c>
      <c r="E28" s="674" cm="1">
        <f t="array" ref="E28">_xll.PITimeDat($E$7,A28,"","interpolated")</f>
        <v>5.0061062877824351E-2</v>
      </c>
      <c r="F28" s="674" cm="1">
        <f t="array" ref="F28">_xll.PITimeDat($F$7,A28,"","interpolated")</f>
        <v>5.0470438176135113E-2</v>
      </c>
      <c r="G28" s="258" cm="1">
        <f t="array" ref="G28">_xll.PITimeDat($G$7,A28,"","interpolated")</f>
        <v>1.0135835078253672</v>
      </c>
      <c r="H28" s="669">
        <f>'MPFM_Horario_29&amp;30_03'!O20</f>
        <v>104.842</v>
      </c>
      <c r="I28" s="572">
        <f>'MPFM_Horario_29&amp;30_03'!N20</f>
        <v>0</v>
      </c>
      <c r="J28" s="572">
        <f>'MPFM_Horario_29&amp;30_03'!Q20</f>
        <v>9.6000000000000002E-2</v>
      </c>
      <c r="K28" s="572">
        <f>'MPFM_Horario_29&amp;30_03'!P20</f>
        <v>104.842</v>
      </c>
      <c r="L28" s="573">
        <f t="shared" si="9"/>
        <v>104.938</v>
      </c>
      <c r="M28" s="670">
        <v>1.00953293661294</v>
      </c>
      <c r="N28" s="235">
        <v>1</v>
      </c>
      <c r="O28" s="235">
        <v>1</v>
      </c>
      <c r="P28" s="673">
        <v>1.00953293661294</v>
      </c>
      <c r="Q28" s="234">
        <f t="shared" si="10"/>
        <v>105.84145214037385</v>
      </c>
      <c r="R28" s="243">
        <f t="shared" si="11"/>
        <v>0</v>
      </c>
      <c r="S28" s="244">
        <f t="shared" si="12"/>
        <v>9.6000000000000002E-2</v>
      </c>
      <c r="T28" s="672">
        <f t="shared" si="13"/>
        <v>105.84145214037385</v>
      </c>
      <c r="U28" s="244">
        <f t="shared" si="14"/>
        <v>105.93745214037385</v>
      </c>
      <c r="V28" s="394">
        <f>'MPFM_Horario_29&amp;30_03'!AR20</f>
        <v>622.59</v>
      </c>
      <c r="W28" s="239">
        <f>'MPFM_Horario_29&amp;30_03'!AS20</f>
        <v>74.42</v>
      </c>
      <c r="X28" s="237">
        <f>'MPFM_Horario_29&amp;30_03'!AU20</f>
        <v>635.95000000000005</v>
      </c>
      <c r="Y28" s="237">
        <f>'MPFM_Horario_29&amp;30_03'!AT20</f>
        <v>575.72</v>
      </c>
      <c r="Z28" s="524">
        <f>'MPFM_Horario_29&amp;30_03'!AV20</f>
        <v>997.05</v>
      </c>
      <c r="AA28" s="237">
        <f>'MPFM_Horario_29&amp;30_03'!AI20</f>
        <v>79.278999999999996</v>
      </c>
      <c r="AB28" s="243">
        <f>'MPFM_Horario_29&amp;30_03'!AH20</f>
        <v>26.559000000000001</v>
      </c>
      <c r="AC28" s="237">
        <f>'MPFM_Horario_29&amp;30_03'!AK20</f>
        <v>9.6000000000000002E-2</v>
      </c>
      <c r="AD28" s="242">
        <f t="shared" si="15"/>
        <v>105.83799999999999</v>
      </c>
      <c r="AE28" s="250">
        <f t="shared" si="16"/>
        <v>105.934</v>
      </c>
      <c r="AF28" s="243">
        <f>'MPFM_Horario_29&amp;30_03'!AD20</f>
        <v>92.191999999999993</v>
      </c>
      <c r="AG28" s="243">
        <v>30.495000000000001</v>
      </c>
      <c r="AH28" s="244">
        <f>'MPFM_Horario_29&amp;30_03'!AF20</f>
        <v>7.6999999999999999E-2</v>
      </c>
      <c r="AI28" s="109"/>
      <c r="AJ28" s="91">
        <f>SEP_29_03_OLEO!E21</f>
        <v>41.97</v>
      </c>
      <c r="AK28" s="94">
        <f>SEP_29_03_OLEO!D21</f>
        <v>88.54025</v>
      </c>
      <c r="AL28" s="91">
        <f>SEP_29_03_OLEO!I21</f>
        <v>109.627</v>
      </c>
      <c r="AM28" s="167">
        <v>768.13</v>
      </c>
      <c r="AN28" s="93">
        <f t="shared" si="17"/>
        <v>84.207787509999989</v>
      </c>
      <c r="AO28" s="735">
        <f t="shared" si="18"/>
        <v>87.218144929999994</v>
      </c>
      <c r="AP28" s="92">
        <f>SEP_29_03_GAS!I21</f>
        <v>20.3827</v>
      </c>
      <c r="AQ28" s="92">
        <f>SEP_29_03_AGUA!J21</f>
        <v>1.75</v>
      </c>
      <c r="AR28" s="92">
        <f t="shared" si="19"/>
        <v>104.59048750999999</v>
      </c>
      <c r="AS28" s="93">
        <f t="shared" si="20"/>
        <v>106.34048750999999</v>
      </c>
      <c r="AT28" s="281">
        <f t="shared" si="21"/>
        <v>1.196059661022475</v>
      </c>
      <c r="AU28" s="282">
        <f t="shared" si="22"/>
        <v>-0.37900462849415062</v>
      </c>
      <c r="AV28" s="145">
        <v>72.69</v>
      </c>
      <c r="AW28" s="92">
        <v>0.84030000000000005</v>
      </c>
      <c r="AX28" s="93">
        <v>0.06</v>
      </c>
      <c r="AY28" s="545">
        <f>SEP_29_03_OLEO!J21*(1-AX28/100)</f>
        <v>108.3409564</v>
      </c>
      <c r="AZ28" s="153">
        <f t="shared" si="23"/>
        <v>91.038905662920001</v>
      </c>
      <c r="BA28" s="727">
        <v>861.88333333333298</v>
      </c>
      <c r="BB28" s="153">
        <f t="shared" si="47"/>
        <v>78.464915475776337</v>
      </c>
      <c r="BC28" s="544">
        <f t="shared" si="48"/>
        <v>6617.6180526376547</v>
      </c>
      <c r="BD28" s="153">
        <f>(SEP_29_03_GAS!H22+BC28)/1000</f>
        <v>31.511418052637655</v>
      </c>
      <c r="BE28" s="153">
        <f t="shared" si="24"/>
        <v>25.580969175131248</v>
      </c>
      <c r="BF28" s="544">
        <f>SEP_29_03_OLEO!J21*(AX28/100)</f>
        <v>6.5043599999999993E-2</v>
      </c>
      <c r="BG28" s="153">
        <f>SEP_29_03_AGUA!K21+'5.1 TotalHorario_Acomp28&amp;29_03'!BF28</f>
        <v>1.8180436</v>
      </c>
      <c r="BH28" s="589">
        <f t="shared" si="25"/>
        <v>1.813498491</v>
      </c>
      <c r="BI28" s="548">
        <f t="shared" si="26"/>
        <v>104.04588465090758</v>
      </c>
      <c r="BJ28" s="546">
        <f t="shared" si="27"/>
        <v>105.85938314190759</v>
      </c>
      <c r="BK28" s="111"/>
      <c r="BL28" s="176"/>
      <c r="BM28" s="177"/>
      <c r="BN28" s="177"/>
      <c r="BO28" s="176"/>
      <c r="BP28" s="177"/>
      <c r="BQ28" s="178"/>
      <c r="BR28" s="111"/>
      <c r="BS28" s="111"/>
      <c r="BT28" s="742">
        <f t="shared" si="28"/>
        <v>-0.15903928776669984</v>
      </c>
      <c r="BU28" s="92">
        <f t="shared" si="29"/>
        <v>17.435000000000002</v>
      </c>
      <c r="BV28" s="743">
        <f t="shared" si="30"/>
        <v>-3.2255547844270205E-2</v>
      </c>
      <c r="BW28" s="92">
        <f t="shared" si="31"/>
        <v>1.0164180526376541</v>
      </c>
      <c r="BX28" s="754">
        <f t="shared" si="32"/>
        <v>-0.95764678030823902</v>
      </c>
      <c r="BY28" s="93">
        <f t="shared" si="33"/>
        <v>1.7410436</v>
      </c>
      <c r="BZ28" s="577">
        <f t="shared" si="34"/>
        <v>1.7224279029442346E-2</v>
      </c>
      <c r="CA28" s="92"/>
      <c r="CB28" s="578">
        <f t="shared" si="36"/>
        <v>7.0486768274835576E-4</v>
      </c>
      <c r="CC28" s="93"/>
      <c r="CD28" s="169" t="str">
        <f t="shared" si="38"/>
        <v>OK</v>
      </c>
      <c r="CE28" s="170" t="str">
        <f t="shared" si="39"/>
        <v>OK</v>
      </c>
      <c r="CG28" s="95">
        <f t="shared" si="40"/>
        <v>5.8552910323541596E-2</v>
      </c>
      <c r="CH28" s="76">
        <f>IF(R28="","",R28-T27)</f>
        <v>-105.7828992300503</v>
      </c>
      <c r="CI28" s="33">
        <f t="shared" si="42"/>
        <v>0</v>
      </c>
      <c r="CJ28" s="76">
        <f t="shared" si="6"/>
        <v>-105.72434631972676</v>
      </c>
      <c r="CK28" s="97">
        <f t="shared" si="7"/>
        <v>-105.72434631972676</v>
      </c>
      <c r="CL28" s="98">
        <f t="shared" si="43"/>
        <v>-0.45626922000001002</v>
      </c>
      <c r="CM28" s="76">
        <f t="shared" si="44"/>
        <v>-5.9899999999998954E-2</v>
      </c>
      <c r="CN28" s="76">
        <f t="shared" si="45"/>
        <v>0.1319999999999999</v>
      </c>
      <c r="CO28" s="76">
        <f t="shared" si="8"/>
        <v>-0.51616922000000898</v>
      </c>
      <c r="CP28" s="47">
        <f t="shared" si="46"/>
        <v>-0.38416922000000908</v>
      </c>
      <c r="CQ28" s="75" t="s">
        <v>12</v>
      </c>
      <c r="CR28" s="96"/>
    </row>
    <row r="29" spans="1:96" ht="24.75" customHeight="1" x14ac:dyDescent="0.25">
      <c r="A29" s="180">
        <v>46110.708328414352</v>
      </c>
      <c r="B29" s="142">
        <v>46110.75000104167</v>
      </c>
      <c r="C29" s="90">
        <f t="shared" si="0"/>
        <v>1.0001430556294508</v>
      </c>
      <c r="D29" s="258" cm="1">
        <f t="array" ref="D29">_xll.PITimeDat($D$7,A29,"","interpolated")</f>
        <v>17.015077031192792</v>
      </c>
      <c r="E29" s="674" cm="1">
        <f t="array" ref="E29">_xll.PITimeDat($E$7,A29,"","interpolated")</f>
        <v>5.0068314063494587E-2</v>
      </c>
      <c r="F29" s="674" cm="1">
        <f t="array" ref="F29">_xll.PITimeDat($F$7,A29,"","interpolated")</f>
        <v>5.047147581228275E-2</v>
      </c>
      <c r="G29" s="258" cm="1">
        <f t="array" ref="G29">_xll.PITimeDat($G$7,A29,"","interpolated")</f>
        <v>1.1017873139481893</v>
      </c>
      <c r="H29" s="669">
        <f>'MPFM_Horario_29&amp;30_03'!O21</f>
        <v>104.831</v>
      </c>
      <c r="I29" s="572">
        <f>'MPFM_Horario_29&amp;30_03'!N21</f>
        <v>0</v>
      </c>
      <c r="J29" s="572">
        <f>'MPFM_Horario_29&amp;30_03'!Q21</f>
        <v>9.6000000000000002E-2</v>
      </c>
      <c r="K29" s="572">
        <f>'MPFM_Horario_29&amp;30_03'!P21</f>
        <v>104.831</v>
      </c>
      <c r="L29" s="573">
        <f t="shared" si="9"/>
        <v>104.92700000000001</v>
      </c>
      <c r="M29" s="670">
        <v>1.00953293661294</v>
      </c>
      <c r="N29" s="235">
        <v>1</v>
      </c>
      <c r="O29" s="235">
        <v>1</v>
      </c>
      <c r="P29" s="673">
        <v>1.00953293661294</v>
      </c>
      <c r="Q29" s="234">
        <f t="shared" si="10"/>
        <v>105.83034727807112</v>
      </c>
      <c r="R29" s="243">
        <f t="shared" si="11"/>
        <v>0</v>
      </c>
      <c r="S29" s="244">
        <f t="shared" si="12"/>
        <v>9.6000000000000002E-2</v>
      </c>
      <c r="T29" s="672">
        <f t="shared" si="13"/>
        <v>105.83034727807112</v>
      </c>
      <c r="U29" s="244">
        <f t="shared" si="14"/>
        <v>105.92634727807112</v>
      </c>
      <c r="V29" s="394">
        <f>'MPFM_Horario_29&amp;30_03'!AR21</f>
        <v>622.63</v>
      </c>
      <c r="W29" s="239">
        <f>'MPFM_Horario_29&amp;30_03'!AS21</f>
        <v>74.400000000000006</v>
      </c>
      <c r="X29" s="237">
        <f>'MPFM_Horario_29&amp;30_03'!AU21</f>
        <v>635.96</v>
      </c>
      <c r="Y29" s="237">
        <f>'MPFM_Horario_29&amp;30_03'!AT21</f>
        <v>575.73</v>
      </c>
      <c r="Z29" s="524">
        <f>'MPFM_Horario_29&amp;30_03'!AV21</f>
        <v>997.05</v>
      </c>
      <c r="AA29" s="237">
        <f>'MPFM_Horario_29&amp;30_03'!AI21</f>
        <v>79.271000000000001</v>
      </c>
      <c r="AB29" s="243">
        <f>'MPFM_Horario_29&amp;30_03'!AH21</f>
        <v>26.556999999999999</v>
      </c>
      <c r="AC29" s="237">
        <f>'MPFM_Horario_29&amp;30_03'!AK21</f>
        <v>9.6000000000000002E-2</v>
      </c>
      <c r="AD29" s="242">
        <f t="shared" si="15"/>
        <v>105.828</v>
      </c>
      <c r="AE29" s="250">
        <f t="shared" si="16"/>
        <v>105.92400000000001</v>
      </c>
      <c r="AF29" s="243">
        <f>'MPFM_Horario_29&amp;30_03'!AD21</f>
        <v>92.183000000000007</v>
      </c>
      <c r="AG29" s="243">
        <v>30.492000000000001</v>
      </c>
      <c r="AH29" s="244">
        <f>'MPFM_Horario_29&amp;30_03'!AF21</f>
        <v>7.6999999999999999E-2</v>
      </c>
      <c r="AI29" s="109"/>
      <c r="AJ29" s="91">
        <f>SEP_29_03_OLEO!E22</f>
        <v>41.9</v>
      </c>
      <c r="AK29" s="94">
        <f>SEP_29_03_OLEO!D22</f>
        <v>87.805099999999996</v>
      </c>
      <c r="AL29" s="91">
        <f>SEP_29_03_OLEO!I22</f>
        <v>109.93</v>
      </c>
      <c r="AM29" s="167">
        <v>768.13</v>
      </c>
      <c r="AN29" s="93">
        <f t="shared" si="17"/>
        <v>84.440530899999999</v>
      </c>
      <c r="AO29" s="735">
        <f t="shared" si="18"/>
        <v>87.459208700000005</v>
      </c>
      <c r="AP29" s="92">
        <f>SEP_29_03_GAS!I22</f>
        <v>20.5671</v>
      </c>
      <c r="AQ29" s="92">
        <f>SEP_29_03_AGUA!J22</f>
        <v>1.706</v>
      </c>
      <c r="AR29" s="92">
        <f t="shared" si="19"/>
        <v>105.0076309</v>
      </c>
      <c r="AS29" s="93">
        <f t="shared" si="20"/>
        <v>106.7136309</v>
      </c>
      <c r="AT29" s="281">
        <f t="shared" si="21"/>
        <v>0.78348246791188902</v>
      </c>
      <c r="AU29" s="282">
        <f t="shared" si="22"/>
        <v>-0.73775357026941712</v>
      </c>
      <c r="AV29" s="145">
        <v>72.69</v>
      </c>
      <c r="AW29" s="92">
        <v>0.84030000000000005</v>
      </c>
      <c r="AX29" s="93">
        <v>0.04</v>
      </c>
      <c r="AY29" s="545">
        <f>SEP_29_03_OLEO!J22*(1-AX29/100)</f>
        <v>108.6635172</v>
      </c>
      <c r="AZ29" s="153">
        <f t="shared" si="23"/>
        <v>91.309953503160003</v>
      </c>
      <c r="BA29" s="727">
        <v>861.88333333333298</v>
      </c>
      <c r="BB29" s="153">
        <f t="shared" si="47"/>
        <v>78.698527091815194</v>
      </c>
      <c r="BC29" s="544">
        <f t="shared" si="48"/>
        <v>6637.3205201447008</v>
      </c>
      <c r="BD29" s="153">
        <f>(SEP_29_03_GAS!H23+BC29)/1000</f>
        <v>31.485520520144703</v>
      </c>
      <c r="BE29" s="153">
        <f t="shared" si="24"/>
        <v>25.559945558253471</v>
      </c>
      <c r="BF29" s="544">
        <f>SEP_29_03_OLEO!J22*(AX29/100)</f>
        <v>4.3482800000000002E-2</v>
      </c>
      <c r="BG29" s="153">
        <f>SEP_29_03_AGUA!K22+'5.1 TotalHorario_Acomp28&amp;29_03'!BF29</f>
        <v>1.7524828000000001</v>
      </c>
      <c r="BH29" s="589">
        <f t="shared" si="25"/>
        <v>1.7481015930000001</v>
      </c>
      <c r="BI29" s="548">
        <f t="shared" si="26"/>
        <v>104.25847265006867</v>
      </c>
      <c r="BJ29" s="546">
        <f t="shared" si="27"/>
        <v>106.00657424306867</v>
      </c>
      <c r="BK29" s="110"/>
      <c r="BL29" s="176"/>
      <c r="BM29" s="177"/>
      <c r="BN29" s="177"/>
      <c r="BO29" s="176"/>
      <c r="BP29" s="177"/>
      <c r="BQ29" s="178"/>
      <c r="BR29" s="110"/>
      <c r="BS29" s="110"/>
      <c r="BT29" s="742">
        <f t="shared" si="28"/>
        <v>-0.16143909760756847</v>
      </c>
      <c r="BU29" s="92">
        <f t="shared" si="29"/>
        <v>17.747</v>
      </c>
      <c r="BV29" s="743">
        <f t="shared" si="30"/>
        <v>-3.1554838660172058E-2</v>
      </c>
      <c r="BW29" s="92">
        <f t="shared" si="31"/>
        <v>0.9935205201447026</v>
      </c>
      <c r="BX29" s="754">
        <f t="shared" si="32"/>
        <v>-0.95606233624660963</v>
      </c>
      <c r="BY29" s="93">
        <f t="shared" si="33"/>
        <v>1.6754828000000002</v>
      </c>
      <c r="BZ29" s="577">
        <f t="shared" si="34"/>
        <v>1.505419473388292E-2</v>
      </c>
      <c r="CA29" s="92"/>
      <c r="CB29" s="578">
        <f t="shared" si="36"/>
        <v>-7.7895398147032058E-4</v>
      </c>
      <c r="CC29" s="93"/>
      <c r="CD29" s="169" t="str">
        <f t="shared" si="38"/>
        <v>OK</v>
      </c>
      <c r="CE29" s="170" t="str">
        <f t="shared" si="39"/>
        <v>OK</v>
      </c>
      <c r="CG29" s="95">
        <f t="shared" si="40"/>
        <v>-1.1104862302730112E-2</v>
      </c>
      <c r="CH29" s="76">
        <f>IF(R29="","",R29-R28)</f>
        <v>0</v>
      </c>
      <c r="CI29" s="33">
        <f t="shared" si="42"/>
        <v>0</v>
      </c>
      <c r="CJ29" s="76">
        <f t="shared" si="6"/>
        <v>-1.1104862302730112E-2</v>
      </c>
      <c r="CK29" s="97">
        <f t="shared" si="7"/>
        <v>-1.1104862302730112E-2</v>
      </c>
      <c r="CL29" s="98">
        <f t="shared" si="43"/>
        <v>0.23274339000001021</v>
      </c>
      <c r="CM29" s="76">
        <f t="shared" si="44"/>
        <v>0.18440000000000012</v>
      </c>
      <c r="CN29" s="76">
        <f t="shared" si="45"/>
        <v>-4.4000000000000039E-2</v>
      </c>
      <c r="CO29" s="76">
        <f t="shared" si="8"/>
        <v>0.41714339000001033</v>
      </c>
      <c r="CP29" s="47">
        <f t="shared" si="46"/>
        <v>0.37314339000001029</v>
      </c>
      <c r="CQ29" s="75" t="s">
        <v>12</v>
      </c>
      <c r="CR29" s="96"/>
    </row>
    <row r="30" spans="1:96" ht="24.75" customHeight="1" x14ac:dyDescent="0.25">
      <c r="A30" s="142">
        <v>46110.749994791666</v>
      </c>
      <c r="B30" s="142">
        <v>46110.791667766207</v>
      </c>
      <c r="C30" s="90">
        <f t="shared" si="0"/>
        <v>1.0001513889874332</v>
      </c>
      <c r="D30" s="258" cm="1">
        <f t="array" ref="D30">_xll.PITimeDat($D$7,A30,"","interpolated")</f>
        <v>17.077657045638134</v>
      </c>
      <c r="E30" s="674" cm="1">
        <f t="array" ref="E30">_xll.PITimeDat($E$7,A30,"","interpolated")</f>
        <v>5.0075565249134091E-2</v>
      </c>
      <c r="F30" s="674" cm="1">
        <f t="array" ref="F30">_xll.PITimeDat($F$7,A30,"","interpolated")</f>
        <v>5.0472513448425987E-2</v>
      </c>
      <c r="G30" s="258" cm="1">
        <f t="array" ref="G30">_xll.PITimeDat($G$7,A30,"","interpolated")</f>
        <v>1.1899911196971524</v>
      </c>
      <c r="H30" s="669">
        <f>'MPFM_Horario_29&amp;30_03'!O22</f>
        <v>126.624</v>
      </c>
      <c r="I30" s="572">
        <f>'MPFM_Horario_29&amp;30_03'!N22</f>
        <v>0</v>
      </c>
      <c r="J30" s="572">
        <f>'MPFM_Horario_29&amp;30_03'!Q22</f>
        <v>0.11600000000000001</v>
      </c>
      <c r="K30" s="572">
        <f>'MPFM_Horario_29&amp;30_03'!P22</f>
        <v>126.624</v>
      </c>
      <c r="L30" s="573">
        <f t="shared" si="9"/>
        <v>126.74</v>
      </c>
      <c r="M30" s="670">
        <v>1.00953293661294</v>
      </c>
      <c r="N30" s="235">
        <v>1</v>
      </c>
      <c r="O30" s="235">
        <v>1</v>
      </c>
      <c r="P30" s="673">
        <v>1.00953293661294</v>
      </c>
      <c r="Q30" s="234">
        <f t="shared" si="10"/>
        <v>127.83109856567691</v>
      </c>
      <c r="R30" s="243">
        <f t="shared" si="11"/>
        <v>0</v>
      </c>
      <c r="S30" s="244">
        <f t="shared" si="12"/>
        <v>0.11600000000000001</v>
      </c>
      <c r="T30" s="672">
        <f t="shared" si="13"/>
        <v>127.83109856567691</v>
      </c>
      <c r="U30" s="244">
        <f t="shared" si="14"/>
        <v>127.94709856567691</v>
      </c>
      <c r="V30" s="394">
        <f>'MPFM_Horario_29&amp;30_03'!AR22</f>
        <v>610.45000000000005</v>
      </c>
      <c r="W30" s="239">
        <f>'MPFM_Horario_29&amp;30_03'!AS22</f>
        <v>75.09</v>
      </c>
      <c r="X30" s="237">
        <f>'MPFM_Horario_29&amp;30_03'!AU22</f>
        <v>634.17999999999995</v>
      </c>
      <c r="Y30" s="237">
        <f>'MPFM_Horario_29&amp;30_03'!AT22</f>
        <v>575.19000000000005</v>
      </c>
      <c r="Z30" s="524">
        <f>'MPFM_Horario_29&amp;30_03'!AV22</f>
        <v>997.05</v>
      </c>
      <c r="AA30" s="237">
        <f>'MPFM_Horario_29&amp;30_03'!AI22</f>
        <v>95.75</v>
      </c>
      <c r="AB30" s="243">
        <f>'MPFM_Horario_29&amp;30_03'!AH22</f>
        <v>32.076999999999998</v>
      </c>
      <c r="AC30" s="237">
        <f>'MPFM_Horario_29&amp;30_03'!AK22</f>
        <v>0.11600000000000001</v>
      </c>
      <c r="AD30" s="242">
        <f t="shared" si="15"/>
        <v>127.827</v>
      </c>
      <c r="AE30" s="250">
        <f t="shared" si="16"/>
        <v>127.943</v>
      </c>
      <c r="AF30" s="243">
        <f>'MPFM_Horario_29&amp;30_03'!AD22</f>
        <v>111.346</v>
      </c>
      <c r="AG30" s="243">
        <v>36.831000000000003</v>
      </c>
      <c r="AH30" s="244">
        <f>'MPFM_Horario_29&amp;30_03'!AF22</f>
        <v>9.2999999999999999E-2</v>
      </c>
      <c r="AI30" s="109"/>
      <c r="AJ30" s="91">
        <f>SEP_29_03_OLEO!E23</f>
        <v>41.97</v>
      </c>
      <c r="AK30" s="94">
        <f>SEP_29_03_OLEO!D23</f>
        <v>88.499230000000011</v>
      </c>
      <c r="AL30" s="91">
        <f>SEP_29_03_OLEO!I23</f>
        <v>109.521</v>
      </c>
      <c r="AM30" s="167">
        <v>768.13</v>
      </c>
      <c r="AN30" s="93">
        <f t="shared" si="17"/>
        <v>84.126365730000003</v>
      </c>
      <c r="AO30" s="735">
        <f t="shared" si="18"/>
        <v>87.133812390000003</v>
      </c>
      <c r="AP30" s="92">
        <f>SEP_29_03_GAS!I23</f>
        <v>20.529399999999999</v>
      </c>
      <c r="AQ30" s="92">
        <f>SEP_29_03_AGUA!J23</f>
        <v>1.8089999999999999</v>
      </c>
      <c r="AR30" s="92">
        <f t="shared" si="19"/>
        <v>104.65576573</v>
      </c>
      <c r="AS30" s="93">
        <f t="shared" si="20"/>
        <v>106.46476573</v>
      </c>
      <c r="AT30" s="281">
        <f t="shared" si="21"/>
        <v>22.14434405407404</v>
      </c>
      <c r="AU30" s="282">
        <f t="shared" si="22"/>
        <v>20.177880154413884</v>
      </c>
      <c r="AV30" s="145">
        <v>72.69</v>
      </c>
      <c r="AW30" s="92">
        <v>0.84030000000000005</v>
      </c>
      <c r="AX30" s="93">
        <v>0.04</v>
      </c>
      <c r="AY30" s="545">
        <f>SEP_29_03_OLEO!J23*(1-AX30/100)</f>
        <v>108.25867920000002</v>
      </c>
      <c r="AZ30" s="153">
        <f t="shared" si="23"/>
        <v>90.96976813176002</v>
      </c>
      <c r="BA30" s="727">
        <v>861.88333333333298</v>
      </c>
      <c r="BB30" s="153">
        <f t="shared" si="47"/>
        <v>78.405326989961736</v>
      </c>
      <c r="BC30" s="544">
        <f t="shared" si="48"/>
        <v>6612.5924454976357</v>
      </c>
      <c r="BD30" s="153">
        <f>(SEP_29_03_GAS!H24+BC30)/1000</f>
        <v>36.963992445497638</v>
      </c>
      <c r="BE30" s="153">
        <f t="shared" si="24"/>
        <v>30.007369067254984</v>
      </c>
      <c r="BF30" s="544">
        <f>SEP_29_03_OLEO!J23*(AX30/100)</f>
        <v>4.3320800000000007E-2</v>
      </c>
      <c r="BG30" s="153">
        <f>SEP_29_03_AGUA!K23+'5.1 TotalHorario_Acomp28&amp;29_03'!BF30</f>
        <v>1.8563208</v>
      </c>
      <c r="BH30" s="589">
        <f t="shared" si="25"/>
        <v>1.851679998</v>
      </c>
      <c r="BI30" s="548">
        <f t="shared" si="26"/>
        <v>108.41269605721672</v>
      </c>
      <c r="BJ30" s="546">
        <f t="shared" si="27"/>
        <v>110.26437605521672</v>
      </c>
      <c r="BK30" s="111"/>
      <c r="BL30" s="176"/>
      <c r="BM30" s="177"/>
      <c r="BN30" s="177"/>
      <c r="BO30" s="176"/>
      <c r="BP30" s="177"/>
      <c r="BQ30" s="178"/>
      <c r="BR30" s="111"/>
      <c r="BS30" s="111"/>
      <c r="BT30" s="742">
        <f t="shared" si="28"/>
        <v>1.6663470932515301E-2</v>
      </c>
      <c r="BU30" s="92">
        <f t="shared" si="29"/>
        <v>-1.8250000000000028</v>
      </c>
      <c r="BV30" s="743">
        <f t="shared" si="30"/>
        <v>-3.5978918049430764E-3</v>
      </c>
      <c r="BW30" s="92">
        <f t="shared" si="31"/>
        <v>0.132992445497635</v>
      </c>
      <c r="BX30" s="754">
        <f t="shared" si="32"/>
        <v>-0.94990090074948252</v>
      </c>
      <c r="BY30" s="93">
        <f t="shared" si="33"/>
        <v>1.7633208</v>
      </c>
      <c r="BZ30" s="577">
        <f t="shared" si="34"/>
        <v>0.17907777085939292</v>
      </c>
      <c r="CA30" s="92"/>
      <c r="CB30" s="578">
        <f t="shared" si="36"/>
        <v>0.1603294244002289</v>
      </c>
      <c r="CC30" s="93"/>
      <c r="CD30" s="169" t="str">
        <f t="shared" si="38"/>
        <v>FORA</v>
      </c>
      <c r="CE30" s="170" t="str">
        <f t="shared" si="39"/>
        <v>FORA</v>
      </c>
      <c r="CG30" s="95">
        <f t="shared" si="40"/>
        <v>22.000751287605794</v>
      </c>
      <c r="CH30" s="76">
        <f>IF(R30="","",R30-R29)</f>
        <v>0</v>
      </c>
      <c r="CI30" s="33">
        <f t="shared" si="42"/>
        <v>2.0000000000000004E-2</v>
      </c>
      <c r="CJ30" s="76">
        <f t="shared" si="6"/>
        <v>22.000751287605794</v>
      </c>
      <c r="CK30" s="97">
        <f t="shared" si="7"/>
        <v>22.020751287605794</v>
      </c>
      <c r="CL30" s="98">
        <f t="shared" si="43"/>
        <v>-0.31416516999999544</v>
      </c>
      <c r="CM30" s="76">
        <f t="shared" si="44"/>
        <v>-3.7700000000000955E-2</v>
      </c>
      <c r="CN30" s="76">
        <f t="shared" si="45"/>
        <v>0.10299999999999998</v>
      </c>
      <c r="CO30" s="76">
        <f t="shared" si="8"/>
        <v>-0.3518651699999964</v>
      </c>
      <c r="CP30" s="47">
        <f t="shared" si="46"/>
        <v>-0.24886516999999642</v>
      </c>
      <c r="CQ30" s="75" t="s">
        <v>12</v>
      </c>
      <c r="CR30" s="96"/>
    </row>
    <row r="31" spans="1:96" ht="24.75" customHeight="1" x14ac:dyDescent="0.25">
      <c r="A31" s="180">
        <v>46110.791661053241</v>
      </c>
      <c r="B31" s="142">
        <v>46110.833334490744</v>
      </c>
      <c r="C31" s="90">
        <f t="shared" si="0"/>
        <v>1.000162500073202</v>
      </c>
      <c r="D31" s="258" cm="1">
        <f t="array" ref="D31">_xll.PITimeDat($D$7,A31,"","interpolated")</f>
        <v>17.114893670876643</v>
      </c>
      <c r="E31" s="674" cm="1">
        <f t="array" ref="E31">_xll.PITimeDat($E$7,A31,"","interpolated")</f>
        <v>5.0082816414673076E-2</v>
      </c>
      <c r="F31" s="674" cm="1">
        <f t="array" ref="F31">_xll.PITimeDat($F$7,A31,"","interpolated")</f>
        <v>5.0473551081692859E-2</v>
      </c>
      <c r="G31" s="258" cm="1">
        <f t="array" ref="G31">_xll.PITimeDat($G$7,A31,"","interpolated")</f>
        <v>1.2781946809422902</v>
      </c>
      <c r="H31" s="669">
        <f>'MPFM_Horario_29&amp;30_03'!O23</f>
        <v>418.07499999999999</v>
      </c>
      <c r="I31" s="572">
        <f>'MPFM_Horario_29&amp;30_03'!N23</f>
        <v>0</v>
      </c>
      <c r="J31" s="572">
        <f>'MPFM_Horario_29&amp;30_03'!Q23</f>
        <v>1.421</v>
      </c>
      <c r="K31" s="572">
        <f>'MPFM_Horario_29&amp;30_03'!P23</f>
        <v>418.07499999999999</v>
      </c>
      <c r="L31" s="573">
        <f t="shared" si="9"/>
        <v>419.49599999999998</v>
      </c>
      <c r="M31" s="670">
        <v>1.00953293661294</v>
      </c>
      <c r="N31" s="235">
        <v>1</v>
      </c>
      <c r="O31" s="235">
        <v>1</v>
      </c>
      <c r="P31" s="673">
        <v>1.00953293661294</v>
      </c>
      <c r="Q31" s="234">
        <f t="shared" si="10"/>
        <v>422.06048247445489</v>
      </c>
      <c r="R31" s="243">
        <f t="shared" si="11"/>
        <v>0</v>
      </c>
      <c r="S31" s="244">
        <f t="shared" si="12"/>
        <v>1.421</v>
      </c>
      <c r="T31" s="672">
        <f t="shared" si="13"/>
        <v>422.06048247445489</v>
      </c>
      <c r="U31" s="244">
        <f t="shared" si="14"/>
        <v>423.48148247445488</v>
      </c>
      <c r="V31" s="394">
        <f>'MPFM_Horario_29&amp;30_03'!AR23</f>
        <v>493.17</v>
      </c>
      <c r="W31" s="239">
        <f>'MPFM_Horario_29&amp;30_03'!AS23</f>
        <v>82.38</v>
      </c>
      <c r="X31" s="237">
        <f>'MPFM_Horario_29&amp;30_03'!AU23</f>
        <v>614.73</v>
      </c>
      <c r="Y31" s="237">
        <f>'MPFM_Horario_29&amp;30_03'!AT23</f>
        <v>569.33000000000004</v>
      </c>
      <c r="Z31" s="524">
        <f>'MPFM_Horario_29&amp;30_03'!AV23</f>
        <v>997.05</v>
      </c>
      <c r="AA31" s="237">
        <f>'MPFM_Horario_29&amp;30_03'!AI23</f>
        <v>316.137</v>
      </c>
      <c r="AB31" s="243">
        <f>'MPFM_Horario_29&amp;30_03'!AH23</f>
        <v>105.91</v>
      </c>
      <c r="AC31" s="237">
        <f>'MPFM_Horario_29&amp;30_03'!AK23</f>
        <v>1.421</v>
      </c>
      <c r="AD31" s="242">
        <f>AA31+AB31</f>
        <v>422.04700000000003</v>
      </c>
      <c r="AE31" s="250">
        <f>AA31+AB31+AC31</f>
        <v>423.46800000000002</v>
      </c>
      <c r="AF31" s="243">
        <f>'MPFM_Horario_29&amp;30_03'!AD23</f>
        <v>367.63099999999997</v>
      </c>
      <c r="AG31" s="243">
        <v>121.60299999999999</v>
      </c>
      <c r="AH31" s="244">
        <f>'MPFM_Horario_29&amp;30_03'!AF23</f>
        <v>1.141</v>
      </c>
      <c r="AI31" s="109"/>
      <c r="AJ31" s="91">
        <f>SEP_29_03_OLEO!E24</f>
        <v>41.89</v>
      </c>
      <c r="AK31" s="94">
        <f>SEP_29_03_OLEO!D24</f>
        <v>87.248989999999992</v>
      </c>
      <c r="AL31" s="91">
        <f>SEP_29_03_OLEO!I24</f>
        <v>130.18700000000001</v>
      </c>
      <c r="AM31" s="167">
        <v>768.13</v>
      </c>
      <c r="AN31" s="93">
        <f t="shared" ref="AN31" si="49">AL31*AM31/1000</f>
        <v>100.00054031000001</v>
      </c>
      <c r="AO31" s="735">
        <f t="shared" ref="AO31" si="50">AL31*795.59/1000</f>
        <v>103.57547533000002</v>
      </c>
      <c r="AP31" s="92">
        <f>SEP_29_03_GAS!I24</f>
        <v>25.0761</v>
      </c>
      <c r="AQ31" s="92">
        <f>SEP_29_03_AGUA!J24</f>
        <v>2.15</v>
      </c>
      <c r="AR31" s="92">
        <f t="shared" ref="AR31" si="51">AN31+AP31</f>
        <v>125.07664031</v>
      </c>
      <c r="AS31" s="93">
        <f t="shared" ref="AS31" si="52">AN31+AP31+AQ31</f>
        <v>127.22664031000001</v>
      </c>
      <c r="AT31" s="281">
        <f t="shared" ref="AT31" si="53">IF(AR31=0,"",(T31/AR31-1)*100)</f>
        <v>237.44149301451193</v>
      </c>
      <c r="AU31" s="282">
        <f t="shared" si="22"/>
        <v>232.85598161092781</v>
      </c>
      <c r="AV31" s="145">
        <v>72.69</v>
      </c>
      <c r="AW31" s="92">
        <v>0.84030000000000005</v>
      </c>
      <c r="AX31" s="93">
        <v>0.04</v>
      </c>
      <c r="AY31" s="545">
        <f>SEP_29_03_OLEO!J24*(1-AX31/100)</f>
        <v>128.68050719999999</v>
      </c>
      <c r="AZ31" s="153">
        <f t="shared" ref="AZ31" si="54">AY31*AW31</f>
        <v>108.13023020016</v>
      </c>
      <c r="BA31" s="727">
        <v>861.88333333333298</v>
      </c>
      <c r="BB31" s="153">
        <f>AZ31*BA31/1000</f>
        <v>93.19564323901453</v>
      </c>
      <c r="BC31" s="544">
        <f t="shared" ref="BC31" si="55">AZ31*AV31</f>
        <v>7859.98643324963</v>
      </c>
      <c r="BD31" s="153">
        <f>(SEP_29_03_GAS!H25+BC31)/1000</f>
        <v>106.22188643324964</v>
      </c>
      <c r="BE31" s="153">
        <f t="shared" si="24"/>
        <v>86.230927406512052</v>
      </c>
      <c r="BF31" s="544">
        <f>SEP_29_03_OLEO!J24*(AX31/100)</f>
        <v>5.1492800000000005E-2</v>
      </c>
      <c r="BG31" s="153">
        <f>SEP_29_03_AGUA!K24+'5.1 TotalHorario_Acomp28&amp;29_03'!BF31</f>
        <v>2.2044928000000001</v>
      </c>
      <c r="BH31" s="589">
        <f t="shared" si="25"/>
        <v>2.1989815680000002</v>
      </c>
      <c r="BI31" s="548">
        <f t="shared" ref="BI31" si="56">BB31+BE31</f>
        <v>179.42657064552657</v>
      </c>
      <c r="BJ31" s="546">
        <f t="shared" ref="BJ31" si="57">BI31+BH31</f>
        <v>181.62555221352656</v>
      </c>
      <c r="BK31" s="111"/>
      <c r="BL31" s="176"/>
      <c r="BM31" s="177"/>
      <c r="BN31" s="177"/>
      <c r="BO31" s="176"/>
      <c r="BP31" s="177"/>
      <c r="BQ31" s="178"/>
      <c r="BR31" s="111"/>
      <c r="BS31" s="111"/>
      <c r="BT31" s="742">
        <f t="shared" si="28"/>
        <v>1.8238687426547959</v>
      </c>
      <c r="BU31" s="92">
        <f t="shared" si="29"/>
        <v>-237.44399999999996</v>
      </c>
      <c r="BV31" s="743">
        <f>IF(BD31=0,"",(AG31/BD31-1))</f>
        <v>0.14480173609433988</v>
      </c>
      <c r="BW31" s="92">
        <f t="shared" si="31"/>
        <v>-15.381113566750358</v>
      </c>
      <c r="BX31" s="754">
        <f t="shared" si="32"/>
        <v>-0.48242062754752479</v>
      </c>
      <c r="BY31" s="93">
        <f t="shared" si="33"/>
        <v>1.0634928000000001</v>
      </c>
      <c r="BZ31" s="577">
        <f t="shared" si="34"/>
        <v>1.3521989997445365</v>
      </c>
      <c r="CA31" s="739"/>
      <c r="CB31" s="578">
        <f>IF(BJ31=0,"",(AE31/BJ31-1))</f>
        <v>1.3315441843896139</v>
      </c>
      <c r="CC31" s="229"/>
      <c r="CD31" s="169" t="str">
        <f t="shared" si="38"/>
        <v>FORA</v>
      </c>
      <c r="CE31" s="170" t="str">
        <f t="shared" si="39"/>
        <v>FORA</v>
      </c>
      <c r="CG31" s="513"/>
      <c r="CH31" s="514"/>
      <c r="CI31" s="515"/>
      <c r="CJ31" s="514"/>
      <c r="CK31" s="516"/>
      <c r="CL31" s="517"/>
      <c r="CM31" s="514"/>
      <c r="CN31" s="514"/>
      <c r="CO31" s="514"/>
      <c r="CP31" s="518"/>
      <c r="CQ31" s="519"/>
      <c r="CR31" s="520"/>
    </row>
    <row r="32" spans="1:96" ht="24.75" customHeight="1" x14ac:dyDescent="0.25">
      <c r="A32" s="142">
        <v>46110.833334490744</v>
      </c>
      <c r="B32" s="142">
        <v>46110.875001215281</v>
      </c>
      <c r="C32" s="90">
        <f t="shared" si="0"/>
        <v>1.0000013888929971</v>
      </c>
      <c r="D32" s="258" cm="1">
        <f t="array" ref="D32">_xll.PITimeDat($D$7,A32,"","interpolated")</f>
        <v>12.916480283971453</v>
      </c>
      <c r="E32" s="674" cm="1">
        <f t="array" ref="E32">_xll.PITimeDat($E$7,A32,"","interpolated")</f>
        <v>1.84357001621376</v>
      </c>
      <c r="F32" s="674" cm="1">
        <f t="array" ref="F32">_xll.PITimeDat($F$7,A32,"","interpolated")</f>
        <v>1.848592889343009</v>
      </c>
      <c r="G32" s="258" cm="1">
        <f t="array" ref="G32">_xll.PITimeDat($G$7,A32,"","interpolated")</f>
        <v>1.3664134324548984</v>
      </c>
      <c r="H32" s="669">
        <f>'MPFM_Horario_29&amp;30_03'!O24</f>
        <v>431.61099999999999</v>
      </c>
      <c r="I32" s="572">
        <f>'MPFM_Horario_29&amp;30_03'!N24</f>
        <v>0</v>
      </c>
      <c r="J32" s="572">
        <f>'MPFM_Horario_29&amp;30_03'!Q24</f>
        <v>0.42699999999999999</v>
      </c>
      <c r="K32" s="572">
        <f>'MPFM_Horario_29&amp;30_03'!P24</f>
        <v>431.61099999999999</v>
      </c>
      <c r="L32" s="573">
        <f t="shared" si="9"/>
        <v>432.03800000000001</v>
      </c>
      <c r="M32" s="670">
        <v>1.00953293661294</v>
      </c>
      <c r="N32" s="235">
        <v>1</v>
      </c>
      <c r="O32" s="235">
        <v>1</v>
      </c>
      <c r="P32" s="673">
        <v>1.00953293661294</v>
      </c>
      <c r="Q32" s="234">
        <f t="shared" si="10"/>
        <v>435.72552030444763</v>
      </c>
      <c r="R32" s="243">
        <f t="shared" si="11"/>
        <v>0</v>
      </c>
      <c r="S32" s="244">
        <f t="shared" si="12"/>
        <v>0.42699999999999999</v>
      </c>
      <c r="T32" s="672">
        <f t="shared" si="13"/>
        <v>435.72552030444763</v>
      </c>
      <c r="U32" s="244">
        <f t="shared" si="14"/>
        <v>436.15252030444765</v>
      </c>
      <c r="V32" s="394">
        <f>'MPFM_Horario_29&amp;30_03'!AR24</f>
        <v>490.86</v>
      </c>
      <c r="W32" s="239">
        <f>'MPFM_Horario_29&amp;30_03'!AS24</f>
        <v>84.26</v>
      </c>
      <c r="X32" s="237">
        <f>'MPFM_Horario_29&amp;30_03'!AU24</f>
        <v>613.04</v>
      </c>
      <c r="Y32" s="237">
        <f>'MPFM_Horario_29&amp;30_03'!AT24</f>
        <v>567.88</v>
      </c>
      <c r="Z32" s="524">
        <f>'MPFM_Horario_29&amp;30_03'!AV24</f>
        <v>997.05</v>
      </c>
      <c r="AA32" s="237">
        <f>'MPFM_Horario_29&amp;30_03'!AI24</f>
        <v>326.37200000000001</v>
      </c>
      <c r="AB32" s="243">
        <f>'MPFM_Horario_29&amp;30_03'!AH24</f>
        <v>109.339</v>
      </c>
      <c r="AC32" s="237">
        <f>'MPFM_Horario_29&amp;30_03'!AK24</f>
        <v>0.42699999999999999</v>
      </c>
      <c r="AD32" s="242">
        <f t="shared" si="15"/>
        <v>435.71100000000001</v>
      </c>
      <c r="AE32" s="250">
        <f t="shared" si="16"/>
        <v>436.13800000000003</v>
      </c>
      <c r="AF32" s="243">
        <f>'MPFM_Horario_29&amp;30_03'!AD24</f>
        <v>379.53399999999999</v>
      </c>
      <c r="AG32" s="243">
        <v>125.54</v>
      </c>
      <c r="AH32" s="244">
        <f>'MPFM_Horario_29&amp;30_03'!AF24</f>
        <v>0.34300000000000003</v>
      </c>
      <c r="AI32" s="109"/>
      <c r="AJ32" s="91">
        <f>SEP_29_03_OLEO!E25</f>
        <v>45.94</v>
      </c>
      <c r="AK32" s="94">
        <f>SEP_29_03_OLEO!D25</f>
        <v>83.651430000000005</v>
      </c>
      <c r="AL32" s="91">
        <f>SEP_29_03_OLEO!I25</f>
        <v>450.928</v>
      </c>
      <c r="AM32" s="167">
        <v>768.13</v>
      </c>
      <c r="AN32" s="93">
        <f t="shared" si="17"/>
        <v>346.37132464000001</v>
      </c>
      <c r="AO32" s="735">
        <f t="shared" si="18"/>
        <v>358.75380752000001</v>
      </c>
      <c r="AP32" s="92">
        <f>SEP_29_03_GAS!I25</f>
        <v>81.265799999999999</v>
      </c>
      <c r="AQ32" s="92">
        <f>SEP_29_03_AGUA!J25</f>
        <v>1.905</v>
      </c>
      <c r="AR32" s="92">
        <f t="shared" si="19"/>
        <v>427.63712464000002</v>
      </c>
      <c r="AS32" s="93">
        <f t="shared" si="20"/>
        <v>429.54212464</v>
      </c>
      <c r="AT32" s="281">
        <f t="shared" si="21"/>
        <v>1.8914156883027111</v>
      </c>
      <c r="AU32" s="282">
        <f t="shared" ref="AU32:AU33" si="58">IF(AS32=0,"",(U32/AS32-1)*100)</f>
        <v>1.5389400213047466</v>
      </c>
      <c r="AV32" s="145">
        <v>72.69</v>
      </c>
      <c r="AW32" s="92">
        <v>0.84030000000000005</v>
      </c>
      <c r="AX32" s="93">
        <v>0.04</v>
      </c>
      <c r="AY32" s="545">
        <f>SEP_29_03_OLEO!J25*(1-AX32/100)</f>
        <v>444.12627839999999</v>
      </c>
      <c r="AZ32" s="153">
        <f t="shared" si="23"/>
        <v>373.19931173952</v>
      </c>
      <c r="BA32" s="727">
        <v>861.88333333333298</v>
      </c>
      <c r="BB32" s="153">
        <f>AZ32*BA32/1000</f>
        <v>321.65426679976315</v>
      </c>
      <c r="BC32" s="544">
        <f t="shared" si="48"/>
        <v>27127.857970345707</v>
      </c>
      <c r="BD32" s="153">
        <f>(SEP_29_03_GAS!H26+BC32)/1000</f>
        <v>135.04955797034572</v>
      </c>
      <c r="BE32" s="153">
        <f t="shared" si="24"/>
        <v>109.63323116032667</v>
      </c>
      <c r="BF32" s="544">
        <f>SEP_29_03_OLEO!J25*(AX32/100)</f>
        <v>0.17772160000000001</v>
      </c>
      <c r="BG32" s="153">
        <f>SEP_29_03_AGUA!K25+'5.1 TotalHorario_Acomp28&amp;29_03'!BF32</f>
        <v>2.0867216000000002</v>
      </c>
      <c r="BH32" s="589">
        <f t="shared" si="25"/>
        <v>2.0815047960000004</v>
      </c>
      <c r="BI32" s="548">
        <f t="shared" si="26"/>
        <v>431.28749796008981</v>
      </c>
      <c r="BJ32" s="546">
        <f t="shared" si="27"/>
        <v>433.3690027560898</v>
      </c>
      <c r="BK32" s="111"/>
      <c r="BL32" s="176"/>
      <c r="BM32" s="177"/>
      <c r="BN32" s="177"/>
      <c r="BO32" s="176"/>
      <c r="BP32" s="177"/>
      <c r="BQ32" s="178"/>
      <c r="BR32" s="111"/>
      <c r="BS32" s="111"/>
      <c r="BT32" s="742">
        <f t="shared" si="28"/>
        <v>-0.15832682822978394</v>
      </c>
      <c r="BU32" s="92">
        <f t="shared" si="29"/>
        <v>71.394000000000005</v>
      </c>
      <c r="BV32" s="743">
        <f t="shared" si="30"/>
        <v>-7.0415320962648575E-2</v>
      </c>
      <c r="BW32" s="92">
        <f t="shared" si="31"/>
        <v>9.5095579703457105</v>
      </c>
      <c r="BX32" s="754">
        <f t="shared" si="32"/>
        <v>-0.83562733044983095</v>
      </c>
      <c r="BY32" s="93">
        <f t="shared" si="33"/>
        <v>1.7437216000000002</v>
      </c>
      <c r="BZ32" s="577">
        <f t="shared" si="34"/>
        <v>1.0256504213158379E-2</v>
      </c>
      <c r="CA32" s="92"/>
      <c r="CB32" s="578">
        <f t="shared" si="36"/>
        <v>6.3894676968132558E-3</v>
      </c>
      <c r="CC32" s="229"/>
      <c r="CD32" s="169" t="str">
        <f t="shared" si="38"/>
        <v>OK</v>
      </c>
      <c r="CE32" s="170" t="str">
        <f t="shared" si="39"/>
        <v>OK</v>
      </c>
      <c r="CG32" s="513"/>
      <c r="CH32" s="514"/>
      <c r="CI32" s="515"/>
      <c r="CJ32" s="514"/>
      <c r="CK32" s="516"/>
      <c r="CL32" s="517"/>
      <c r="CM32" s="514"/>
      <c r="CN32" s="514"/>
      <c r="CO32" s="514"/>
      <c r="CP32" s="518"/>
      <c r="CQ32" s="519"/>
      <c r="CR32" s="520"/>
    </row>
    <row r="33" spans="1:97" ht="24.75" customHeight="1" thickBot="1" x14ac:dyDescent="0.3">
      <c r="A33" s="142">
        <v>46110.875001215281</v>
      </c>
      <c r="B33" s="142">
        <v>46110.916667939811</v>
      </c>
      <c r="C33" s="90">
        <f t="shared" si="0"/>
        <v>1.0000013887183741</v>
      </c>
      <c r="D33" s="258" cm="1">
        <f t="array" ref="D33">_xll.PITimeDat($D$7,A33,"","interpolated")</f>
        <v>156.76537293149804</v>
      </c>
      <c r="E33" s="674" cm="1">
        <f t="array" ref="E33">_xll.PITimeDat($E$7,A33,"","interpolated")</f>
        <v>5.0245917547816286E-2</v>
      </c>
      <c r="F33" s="674" cm="1">
        <f t="array" ref="F33">_xll.PITimeDat($F$7,A33,"","interpolated")</f>
        <v>5.0245839654202824E-2</v>
      </c>
      <c r="G33" s="258" cm="1">
        <f t="array" ref="G33">_xll.PITimeDat($G$7,A33,"","interpolated")</f>
        <v>3.6848532468813451</v>
      </c>
      <c r="H33" s="669">
        <f>'MPFM_Horario_29&amp;30_03'!O25</f>
        <v>426.73500000000001</v>
      </c>
      <c r="I33" s="572">
        <f>'MPFM_Horario_29&amp;30_03'!N25</f>
        <v>0</v>
      </c>
      <c r="J33" s="572">
        <f>'MPFM_Horario_29&amp;30_03'!Q25</f>
        <v>0.36299999999999999</v>
      </c>
      <c r="K33" s="572">
        <f>'MPFM_Horario_29&amp;30_03'!P25</f>
        <v>426.73500000000001</v>
      </c>
      <c r="L33" s="573">
        <f>H33+I33+J33</f>
        <v>427.09800000000001</v>
      </c>
      <c r="M33" s="670">
        <v>1.00953293661294</v>
      </c>
      <c r="N33" s="235">
        <v>1</v>
      </c>
      <c r="O33" s="235">
        <v>1</v>
      </c>
      <c r="P33" s="673">
        <v>1.00953293661294</v>
      </c>
      <c r="Q33" s="234">
        <f t="shared" si="10"/>
        <v>430.80303770552297</v>
      </c>
      <c r="R33" s="243">
        <f t="shared" si="11"/>
        <v>0</v>
      </c>
      <c r="S33" s="244">
        <f t="shared" si="12"/>
        <v>0.36299999999999999</v>
      </c>
      <c r="T33" s="672">
        <f t="shared" si="13"/>
        <v>430.80303770552297</v>
      </c>
      <c r="U33" s="244">
        <f t="shared" si="14"/>
        <v>431.16603770552297</v>
      </c>
      <c r="V33" s="394">
        <f>'MPFM_Horario_29&amp;30_03'!AR25</f>
        <v>492.46</v>
      </c>
      <c r="W33" s="239">
        <f>'MPFM_Horario_29&amp;30_03'!AS25</f>
        <v>84.67</v>
      </c>
      <c r="X33" s="237">
        <f>'MPFM_Horario_29&amp;30_03'!AU25</f>
        <v>612.97</v>
      </c>
      <c r="Y33" s="237">
        <f>'MPFM_Horario_29&amp;30_03'!AT25</f>
        <v>567.55999999999995</v>
      </c>
      <c r="Z33" s="524">
        <f>'MPFM_Horario_29&amp;30_03'!AV25</f>
        <v>997.05</v>
      </c>
      <c r="AA33" s="237">
        <f>'MPFM_Horario_29&amp;30_03'!AI25</f>
        <v>322.68599999999998</v>
      </c>
      <c r="AB33" s="243">
        <f>'MPFM_Horario_29&amp;30_03'!AH25</f>
        <v>108.104</v>
      </c>
      <c r="AC33" s="237">
        <f>'MPFM_Horario_29&amp;30_03'!AK25</f>
        <v>0.36299999999999999</v>
      </c>
      <c r="AD33" s="242">
        <f t="shared" si="15"/>
        <v>430.78999999999996</v>
      </c>
      <c r="AE33" s="250">
        <f t="shared" si="16"/>
        <v>431.15299999999996</v>
      </c>
      <c r="AF33" s="243">
        <f>'MPFM_Horario_29&amp;30_03'!AD25</f>
        <v>375.24599999999998</v>
      </c>
      <c r="AG33" s="660">
        <v>124.122</v>
      </c>
      <c r="AH33" s="244">
        <f>'MPFM_Horario_29&amp;30_03'!AF25</f>
        <v>0.29199999999999998</v>
      </c>
      <c r="AI33" s="109"/>
      <c r="AJ33" s="91">
        <f>SEP_29_03_OLEO!E26</f>
        <v>56.98</v>
      </c>
      <c r="AK33" s="94">
        <f>SEP_29_03_OLEO!D26</f>
        <v>83.585970000000003</v>
      </c>
      <c r="AL33" s="91">
        <f>SEP_29_03_OLEO!I26</f>
        <v>454.18</v>
      </c>
      <c r="AM33" s="167">
        <v>768.13</v>
      </c>
      <c r="AN33" s="93">
        <f>AL33*AM33/1000</f>
        <v>348.86928340000003</v>
      </c>
      <c r="AO33" s="735">
        <f t="shared" si="18"/>
        <v>361.3410662</v>
      </c>
      <c r="AP33" s="92">
        <f>SEP_29_03_GAS!I26</f>
        <v>89.164100000000005</v>
      </c>
      <c r="AQ33" s="92">
        <f>SEP_29_03_AGUA!J26</f>
        <v>1.891</v>
      </c>
      <c r="AR33" s="92">
        <f t="shared" si="19"/>
        <v>438.03338340000005</v>
      </c>
      <c r="AS33" s="93">
        <f t="shared" si="20"/>
        <v>439.92438340000007</v>
      </c>
      <c r="AT33" s="281">
        <f t="shared" si="21"/>
        <v>-1.6506380491722816</v>
      </c>
      <c r="AU33" s="282">
        <f t="shared" si="58"/>
        <v>-1.9908752560581777</v>
      </c>
      <c r="AV33" s="145">
        <v>72.69</v>
      </c>
      <c r="AW33" s="92">
        <v>0.84030000000000005</v>
      </c>
      <c r="AX33" s="93">
        <v>0.16</v>
      </c>
      <c r="AY33" s="545">
        <f>SEP_29_03_OLEO!J26*(1-AX33/100)</f>
        <v>442.78540799999996</v>
      </c>
      <c r="AZ33" s="157">
        <f t="shared" si="23"/>
        <v>372.07257834239999</v>
      </c>
      <c r="BA33" s="727">
        <v>861.88333333333298</v>
      </c>
      <c r="BB33" s="157">
        <f t="shared" si="47"/>
        <v>320.68315406367537</v>
      </c>
      <c r="BC33" s="558">
        <f t="shared" si="48"/>
        <v>27045.955719709054</v>
      </c>
      <c r="BD33" s="153">
        <f>(SEP_29_03_GAS!H27+BC33)/1000</f>
        <v>27.045955719709056</v>
      </c>
      <c r="BE33" s="153">
        <f>(BD33*81.18)/100</f>
        <v>21.955906853259812</v>
      </c>
      <c r="BF33" s="544">
        <f>SEP_29_03_OLEO!J26*(AX33/100)</f>
        <v>0.709592</v>
      </c>
      <c r="BG33" s="153">
        <f>SEP_29_03_AGUA!K26+'5.1 TotalHorario_Acomp28&amp;29_03'!BF33</f>
        <v>2.6035919999999999</v>
      </c>
      <c r="BH33" s="589">
        <f t="shared" si="25"/>
        <v>2.5970830199999999</v>
      </c>
      <c r="BI33" s="548">
        <f t="shared" si="26"/>
        <v>342.63906091693519</v>
      </c>
      <c r="BJ33" s="546">
        <f t="shared" si="27"/>
        <v>345.23614393693521</v>
      </c>
      <c r="BK33" s="111"/>
      <c r="BL33" s="176"/>
      <c r="BM33" s="177"/>
      <c r="BN33" s="177"/>
      <c r="BO33" s="176"/>
      <c r="BP33" s="177"/>
      <c r="BQ33" s="178"/>
      <c r="BR33" s="111"/>
      <c r="BS33" s="111"/>
      <c r="BT33" s="742">
        <f t="shared" si="28"/>
        <v>-0.17379453080276552</v>
      </c>
      <c r="BU33" s="92">
        <f t="shared" si="29"/>
        <v>78.934000000000026</v>
      </c>
      <c r="BV33" s="743">
        <f>IF(BD33=0,"",(AG33/BD33-1))</f>
        <v>3.5892998304936672</v>
      </c>
      <c r="BW33" s="92">
        <f t="shared" si="31"/>
        <v>-97.076044280290944</v>
      </c>
      <c r="BX33" s="754">
        <f t="shared" si="32"/>
        <v>-0.88784725102857898</v>
      </c>
      <c r="BY33" s="93">
        <f t="shared" si="33"/>
        <v>2.3115920000000001</v>
      </c>
      <c r="BZ33" s="577">
        <f t="shared" si="34"/>
        <v>0.25727054833492824</v>
      </c>
      <c r="CA33" s="92"/>
      <c r="CB33" s="578">
        <f t="shared" si="36"/>
        <v>0.24886402415257924</v>
      </c>
      <c r="CC33" s="229"/>
      <c r="CD33" s="169" t="str">
        <f t="shared" si="38"/>
        <v>FORA</v>
      </c>
      <c r="CE33" s="170" t="str">
        <f t="shared" si="39"/>
        <v>FORA</v>
      </c>
      <c r="CG33" s="513"/>
      <c r="CH33" s="514"/>
      <c r="CI33" s="515"/>
      <c r="CJ33" s="514"/>
      <c r="CK33" s="516"/>
      <c r="CL33" s="517"/>
      <c r="CM33" s="514"/>
      <c r="CN33" s="514"/>
      <c r="CO33" s="514"/>
      <c r="CP33" s="518"/>
      <c r="CQ33" s="519"/>
      <c r="CR33" s="520"/>
    </row>
    <row r="34" spans="1:97" s="107" customFormat="1" ht="15.75" thickBot="1" x14ac:dyDescent="0.3">
      <c r="A34" s="883" t="s">
        <v>439</v>
      </c>
      <c r="B34" s="884"/>
      <c r="C34" s="885"/>
      <c r="D34" s="205">
        <f>AVERAGE(D10:D33)</f>
        <v>19.831122468043144</v>
      </c>
      <c r="E34" s="317">
        <f>AVERAGE(E10:E33)</f>
        <v>0.12476356385650857</v>
      </c>
      <c r="F34" s="317">
        <f>AVERAGE(F10:F33)</f>
        <v>0.12537787255979191</v>
      </c>
      <c r="G34" s="209">
        <f>AVERAGE(G10:G33)</f>
        <v>0.62344966328968143</v>
      </c>
      <c r="H34" s="205">
        <f>SUM(H10:H33)</f>
        <v>3495.0829999999996</v>
      </c>
      <c r="I34" s="197">
        <f>SUM(I10:I33)</f>
        <v>0</v>
      </c>
      <c r="J34" s="197">
        <f>SUM(J10:J33)</f>
        <v>4.237000000000001</v>
      </c>
      <c r="K34" s="344">
        <f>SUM(K10:K33)</f>
        <v>3495.0829999999996</v>
      </c>
      <c r="L34" s="345">
        <f>SUM(L10:L33)</f>
        <v>3499.32</v>
      </c>
      <c r="M34" s="862"/>
      <c r="N34" s="862"/>
      <c r="O34" s="862"/>
      <c r="P34" s="863"/>
      <c r="Q34" s="205">
        <f>SUM(Q10:Q33)</f>
        <v>3528.4014046959637</v>
      </c>
      <c r="R34" s="675">
        <f>SUM(R10:R33)</f>
        <v>0</v>
      </c>
      <c r="S34" s="682">
        <f>SUM(S10:S33)</f>
        <v>4.237000000000001</v>
      </c>
      <c r="T34" s="681">
        <f>SUM(T10:T33)</f>
        <v>3528.4014046959637</v>
      </c>
      <c r="U34" s="198">
        <f>SUM(U10:U33)</f>
        <v>3532.6384046959638</v>
      </c>
      <c r="V34" s="205">
        <f>AVERAGE(V10:V33)</f>
        <v>605.34125000000006</v>
      </c>
      <c r="W34" s="197">
        <f>AVERAGE(W10:W33)</f>
        <v>75.855000000000004</v>
      </c>
      <c r="X34" s="197">
        <f>AVERAGE(X10:X33)</f>
        <v>632.87791666666669</v>
      </c>
      <c r="Y34" s="197">
        <f>AVERAGE(Y10:Y33)</f>
        <v>574.57333333333338</v>
      </c>
      <c r="Z34" s="198">
        <f>AVERAGE(Z10:Z33)</f>
        <v>997.04999999999961</v>
      </c>
      <c r="AA34" s="205">
        <f t="shared" ref="AA34:AH34" si="59">SUM(AA10:AA33)</f>
        <v>2642.89</v>
      </c>
      <c r="AB34" s="202">
        <f t="shared" si="59"/>
        <v>885.404</v>
      </c>
      <c r="AC34" s="678">
        <f t="shared" si="59"/>
        <v>4.237000000000001</v>
      </c>
      <c r="AD34" s="205">
        <f t="shared" si="59"/>
        <v>3528.2939999999999</v>
      </c>
      <c r="AE34" s="678">
        <f t="shared" si="59"/>
        <v>3532.5309999999995</v>
      </c>
      <c r="AF34" s="205">
        <f t="shared" si="59"/>
        <v>3073.3770000000004</v>
      </c>
      <c r="AG34" s="197">
        <f t="shared" si="59"/>
        <v>1016.5969999999999</v>
      </c>
      <c r="AH34" s="198">
        <f t="shared" si="59"/>
        <v>3.403999999999999</v>
      </c>
      <c r="AI34" s="182"/>
      <c r="AJ34" s="181">
        <f>AVERAGE(AJ10:AJ33)</f>
        <v>45.271250000000002</v>
      </c>
      <c r="AK34" s="348">
        <f>AVERAGE(AK10:AK33)</f>
        <v>88.03811125</v>
      </c>
      <c r="AL34" s="183">
        <f>SUM(AL10:AL33)</f>
        <v>3340.9999999999995</v>
      </c>
      <c r="AM34" s="228">
        <f>AVERAGE(AM10:AM33)</f>
        <v>768.12999999999977</v>
      </c>
      <c r="AN34" s="183">
        <f t="shared" ref="AN34:AS34" si="60">SUM(AN10:AN33)</f>
        <v>2566.3223299999995</v>
      </c>
      <c r="AO34" s="736">
        <f t="shared" si="60"/>
        <v>2658.06619</v>
      </c>
      <c r="AP34" s="352">
        <f t="shared" si="60"/>
        <v>625.80949999999996</v>
      </c>
      <c r="AQ34" s="350">
        <f t="shared" si="60"/>
        <v>35.60499999999999</v>
      </c>
      <c r="AR34" s="135">
        <f t="shared" si="60"/>
        <v>3192.1318300000003</v>
      </c>
      <c r="AS34" s="137">
        <f t="shared" si="60"/>
        <v>3227.7368299999998</v>
      </c>
      <c r="AT34" s="137">
        <f>AVERAGE(AT10:AT33)</f>
        <v>11.467410260114567</v>
      </c>
      <c r="AU34" s="228">
        <f>AVERAGE(AU10:AU33)</f>
        <v>10.139808501651457</v>
      </c>
      <c r="AV34" s="228" t="s">
        <v>12</v>
      </c>
      <c r="AW34" s="228">
        <f>AVERAGE(AW10:AW33)</f>
        <v>0.8402999999999996</v>
      </c>
      <c r="AX34" s="737">
        <f>AVERAGE(AX10:AX33)</f>
        <v>5.8333333333333341E-2</v>
      </c>
      <c r="AY34" s="571">
        <f>SUM(AY10:AY33)</f>
        <v>3289.2267288000003</v>
      </c>
      <c r="AZ34" s="569">
        <f>SUM(AZ10:AZ33)</f>
        <v>2763.9372202106401</v>
      </c>
      <c r="BA34" s="568" t="s">
        <v>12</v>
      </c>
      <c r="BB34" s="569">
        <f t="shared" ref="BB34:BI34" si="61">SUM(BB10:BB33)</f>
        <v>2382.1914244792124</v>
      </c>
      <c r="BC34" s="164">
        <f t="shared" si="61"/>
        <v>200910.59653711141</v>
      </c>
      <c r="BD34" s="349">
        <f t="shared" si="61"/>
        <v>931.87319653711154</v>
      </c>
      <c r="BE34" s="570">
        <f t="shared" si="61"/>
        <v>756.494660948827</v>
      </c>
      <c r="BF34" s="590">
        <f t="shared" si="61"/>
        <v>2.2032711999999997</v>
      </c>
      <c r="BG34" s="591">
        <f t="shared" si="61"/>
        <v>37.871271199999995</v>
      </c>
      <c r="BH34" s="591">
        <f t="shared" si="61"/>
        <v>37.776593021999993</v>
      </c>
      <c r="BI34" s="147">
        <f t="shared" si="61"/>
        <v>3138.6860854280394</v>
      </c>
      <c r="BJ34" s="175">
        <f t="shared" ref="BJ34" si="62">BI34+BH34</f>
        <v>3176.4626784500392</v>
      </c>
      <c r="BK34" s="106"/>
      <c r="BL34" s="106"/>
      <c r="BM34" s="106"/>
      <c r="BN34" s="106"/>
      <c r="BO34" s="106"/>
      <c r="BP34" s="106"/>
      <c r="BQ34" s="106"/>
      <c r="BR34" s="106"/>
      <c r="BS34" s="106"/>
      <c r="BT34" s="744">
        <f t="shared" si="28"/>
        <v>-8.0102663873091617E-2</v>
      </c>
      <c r="BU34" s="579">
        <f t="shared" si="29"/>
        <v>267.62299999999914</v>
      </c>
      <c r="BV34" s="579"/>
      <c r="BW34" s="579"/>
      <c r="BX34" s="755">
        <f t="shared" si="32"/>
        <v>-0.91011656350209869</v>
      </c>
      <c r="BY34" s="579">
        <f t="shared" si="33"/>
        <v>34.467271199999999</v>
      </c>
      <c r="BZ34" s="579"/>
      <c r="CA34" s="579"/>
      <c r="CB34" s="579"/>
      <c r="CC34" s="579"/>
      <c r="CD34" s="579"/>
      <c r="CE34" s="580"/>
      <c r="CF34" s="163"/>
      <c r="CG34" s="106"/>
      <c r="CS34" s="106"/>
    </row>
    <row r="35" spans="1:97" s="107" customFormat="1" x14ac:dyDescent="0.25">
      <c r="A35" s="816" t="s">
        <v>440</v>
      </c>
      <c r="B35" s="817"/>
      <c r="C35" s="886"/>
      <c r="D35" s="206">
        <f t="shared" ref="D35" si="63">MIN(D10:D33)</f>
        <v>8.0929527731701221</v>
      </c>
      <c r="E35" s="318">
        <f>MIN(E10:E33)</f>
        <v>4.9973759167677177E-2</v>
      </c>
      <c r="F35" s="318">
        <f>MIN(F10:F33)</f>
        <v>5.0245839654202824E-2</v>
      </c>
      <c r="G35" s="683">
        <f>MIN(G10:G33)</f>
        <v>0</v>
      </c>
      <c r="H35" s="318">
        <f>MIN(H10:H33)</f>
        <v>103.52</v>
      </c>
      <c r="I35" s="318">
        <f t="shared" ref="I35:L35" si="64">MIN(I10:I33)</f>
        <v>0</v>
      </c>
      <c r="J35" s="318">
        <f>MIN(J10:J33)</f>
        <v>9.4E-2</v>
      </c>
      <c r="K35" s="318">
        <f>MIN(K10:K33)</f>
        <v>103.52</v>
      </c>
      <c r="L35" s="685">
        <f t="shared" si="64"/>
        <v>103.61399999999999</v>
      </c>
      <c r="M35" s="864"/>
      <c r="N35" s="864"/>
      <c r="O35" s="864"/>
      <c r="P35" s="865"/>
      <c r="Q35" s="676">
        <f>MIN(Q10:Q33)</f>
        <v>104.50684959817154</v>
      </c>
      <c r="R35" s="195">
        <f t="shared" ref="R35:T35" si="65">MIN(R10:R33)</f>
        <v>0</v>
      </c>
      <c r="S35" s="199">
        <f t="shared" si="65"/>
        <v>9.4E-2</v>
      </c>
      <c r="T35" s="206">
        <f t="shared" si="65"/>
        <v>104.50684959817154</v>
      </c>
      <c r="U35" s="679">
        <f>MIN(U10:U33)</f>
        <v>104.60084959817154</v>
      </c>
      <c r="V35" s="206">
        <f>MIN(V10:V33)</f>
        <v>490.86</v>
      </c>
      <c r="W35" s="195">
        <f t="shared" ref="W35:Z35" si="66">MIN(W10:W33)</f>
        <v>74.400000000000006</v>
      </c>
      <c r="X35" s="195">
        <f t="shared" si="66"/>
        <v>612.97</v>
      </c>
      <c r="Y35" s="195">
        <f>MIN(Y10:Y33)</f>
        <v>567.55999999999995</v>
      </c>
      <c r="Z35" s="199">
        <f t="shared" si="66"/>
        <v>997.05</v>
      </c>
      <c r="AA35" s="206">
        <f>MIN(AA10:AA33)</f>
        <v>78.278999999999996</v>
      </c>
      <c r="AB35" s="203">
        <f>MIN(AB10:AB33)</f>
        <v>26.225000000000001</v>
      </c>
      <c r="AC35" s="679">
        <f t="shared" ref="AC35" si="67">MIN(AC10:AC33)</f>
        <v>9.4E-2</v>
      </c>
      <c r="AD35" s="206">
        <f>MIN(AD10:AD33)</f>
        <v>104.50399999999999</v>
      </c>
      <c r="AE35" s="679">
        <f>MIN(AE10:AE33)</f>
        <v>104.59799999999998</v>
      </c>
      <c r="AF35" s="206">
        <f>MIN(AF10:AF33)</f>
        <v>91.03</v>
      </c>
      <c r="AG35" s="195">
        <f>MIN(AG10:AG33)</f>
        <v>30.11</v>
      </c>
      <c r="AH35" s="199" t="b">
        <f>D10=MIN(AH10:AH33)</f>
        <v>0</v>
      </c>
      <c r="AI35" s="182"/>
      <c r="AJ35" s="189"/>
      <c r="AK35" s="189"/>
      <c r="AL35" s="189"/>
      <c r="AM35" s="189"/>
      <c r="AN35" s="189"/>
      <c r="AO35" s="189"/>
      <c r="AP35" s="189"/>
      <c r="AQ35" s="189"/>
      <c r="AR35" s="163"/>
      <c r="AS35" s="163"/>
      <c r="AT35" s="163"/>
      <c r="AU35" s="163"/>
      <c r="AV35" s="163"/>
      <c r="AW35" s="163"/>
      <c r="AX35" s="163"/>
      <c r="AY35" s="163"/>
      <c r="AZ35" s="308"/>
      <c r="BA35" s="308"/>
      <c r="BB35" s="308"/>
      <c r="BC35" s="308"/>
      <c r="BD35" s="309"/>
      <c r="BE35" s="309"/>
      <c r="BF35" s="308"/>
      <c r="BG35" s="308"/>
      <c r="BH35" s="163"/>
      <c r="BI35" s="163"/>
      <c r="BJ35" s="163"/>
      <c r="BK35" s="106"/>
      <c r="BL35" s="106"/>
      <c r="BM35" s="106"/>
      <c r="BN35" s="106"/>
      <c r="BO35" s="106"/>
      <c r="BP35" s="106"/>
      <c r="BQ35" s="106"/>
      <c r="BR35" s="106"/>
      <c r="BS35" s="106"/>
      <c r="BT35" s="745" t="str">
        <f t="shared" si="28"/>
        <v/>
      </c>
      <c r="BU35" s="163">
        <f t="shared" si="29"/>
        <v>-91.03</v>
      </c>
      <c r="BV35" s="163"/>
      <c r="BW35" s="163"/>
      <c r="BX35" s="745" t="str">
        <f t="shared" si="32"/>
        <v/>
      </c>
      <c r="BY35" s="163">
        <f t="shared" si="33"/>
        <v>0</v>
      </c>
      <c r="BZ35" s="163"/>
      <c r="CA35" s="163"/>
      <c r="CB35" s="163"/>
      <c r="CC35" s="163"/>
      <c r="CD35" s="163"/>
      <c r="CE35" s="163"/>
      <c r="CF35" s="163"/>
      <c r="CG35" s="106"/>
      <c r="CS35" s="106"/>
    </row>
    <row r="36" spans="1:97" s="107" customFormat="1" ht="15.75" thickBot="1" x14ac:dyDescent="0.3">
      <c r="A36" s="818" t="s">
        <v>441</v>
      </c>
      <c r="B36" s="819"/>
      <c r="C36" s="887"/>
      <c r="D36" s="207">
        <f t="shared" ref="D36" si="68">MAX(D10:D33)</f>
        <v>156.76537293149804</v>
      </c>
      <c r="E36" s="319">
        <f>MAX(E10:E33)</f>
        <v>1.84357001621376</v>
      </c>
      <c r="F36" s="319">
        <f t="shared" ref="F36:L36" si="69">MAX(F10:F33)</f>
        <v>1.848592889343009</v>
      </c>
      <c r="G36" s="684">
        <f>MAX(G10:G33)</f>
        <v>3.6848532468813451</v>
      </c>
      <c r="H36" s="319">
        <f t="shared" si="69"/>
        <v>431.61099999999999</v>
      </c>
      <c r="I36" s="319">
        <f t="shared" si="69"/>
        <v>0</v>
      </c>
      <c r="J36" s="319">
        <f>MAX(J10:J33)</f>
        <v>1.421</v>
      </c>
      <c r="K36" s="319">
        <f t="shared" si="69"/>
        <v>431.61099999999999</v>
      </c>
      <c r="L36" s="686">
        <f t="shared" si="69"/>
        <v>432.03800000000001</v>
      </c>
      <c r="M36" s="866"/>
      <c r="N36" s="866"/>
      <c r="O36" s="866"/>
      <c r="P36" s="867"/>
      <c r="Q36" s="677">
        <f>MAX(Q10:Q33)</f>
        <v>435.72552030444763</v>
      </c>
      <c r="R36" s="196">
        <f t="shared" ref="R36:U36" si="70">MAX(R10:R33)</f>
        <v>0</v>
      </c>
      <c r="S36" s="200">
        <f t="shared" si="70"/>
        <v>1.421</v>
      </c>
      <c r="T36" s="207">
        <f t="shared" si="70"/>
        <v>435.72552030444763</v>
      </c>
      <c r="U36" s="680">
        <f t="shared" si="70"/>
        <v>436.15252030444765</v>
      </c>
      <c r="V36" s="207">
        <f>MAX(V10:V33)</f>
        <v>622.63</v>
      </c>
      <c r="W36" s="196">
        <f t="shared" ref="W36:Z36" si="71">MAX(W10:W33)</f>
        <v>84.67</v>
      </c>
      <c r="X36" s="196">
        <f t="shared" si="71"/>
        <v>635.96</v>
      </c>
      <c r="Y36" s="196">
        <f>MAX(Y10:Y33)</f>
        <v>575.73</v>
      </c>
      <c r="Z36" s="200">
        <f t="shared" si="71"/>
        <v>997.05</v>
      </c>
      <c r="AA36" s="207">
        <f>MAX(AA10:AA33)</f>
        <v>326.37200000000001</v>
      </c>
      <c r="AB36" s="204">
        <f>MAX(AB10:AB33)</f>
        <v>109.339</v>
      </c>
      <c r="AC36" s="680">
        <f t="shared" ref="AC36" si="72">MAX(AC10:AC33)</f>
        <v>1.421</v>
      </c>
      <c r="AD36" s="207">
        <f>MAX(AD10:AD33)</f>
        <v>435.71100000000001</v>
      </c>
      <c r="AE36" s="680">
        <f>MAX(AE10:AE33)</f>
        <v>436.13800000000003</v>
      </c>
      <c r="AF36" s="207">
        <f>MAX(AF10:AF33)</f>
        <v>379.53399999999999</v>
      </c>
      <c r="AG36" s="196">
        <f>MAX(AG10:AG33)</f>
        <v>125.54</v>
      </c>
      <c r="AH36" s="200">
        <f>MAX(AH10:AH33)</f>
        <v>1.141</v>
      </c>
      <c r="AI36" s="182"/>
      <c r="AJ36" s="189"/>
      <c r="AK36" s="189"/>
      <c r="AL36" s="189"/>
      <c r="AM36" s="189"/>
      <c r="AN36" s="189"/>
      <c r="AO36" s="189"/>
      <c r="AP36" s="189"/>
      <c r="AQ36" s="189"/>
      <c r="AR36" s="163"/>
      <c r="AS36" s="163"/>
      <c r="AT36" s="163"/>
      <c r="AU36" s="163"/>
      <c r="AV36" s="163"/>
      <c r="AW36" s="163"/>
      <c r="AX36" s="163"/>
      <c r="AY36" s="163"/>
      <c r="AZ36" s="308"/>
      <c r="BA36" s="308"/>
      <c r="BB36" s="308"/>
      <c r="BC36" s="308"/>
      <c r="BD36" s="309"/>
      <c r="BE36" s="309"/>
      <c r="BF36" s="308"/>
      <c r="BG36" s="308"/>
      <c r="BH36" s="163"/>
      <c r="BI36" s="163"/>
      <c r="BJ36" s="163"/>
      <c r="BK36" s="106"/>
      <c r="BL36" s="106"/>
      <c r="BM36" s="106"/>
      <c r="BN36" s="106"/>
      <c r="BO36" s="106"/>
      <c r="BP36" s="106"/>
      <c r="BQ36" s="106"/>
      <c r="BR36" s="106"/>
      <c r="BS36" s="106"/>
      <c r="BT36" s="745" t="str">
        <f t="shared" si="28"/>
        <v/>
      </c>
      <c r="BU36" s="163">
        <f t="shared" si="29"/>
        <v>-379.53399999999999</v>
      </c>
      <c r="BV36" s="163"/>
      <c r="BW36" s="163"/>
      <c r="BX36" s="745" t="str">
        <f t="shared" si="32"/>
        <v/>
      </c>
      <c r="BY36" s="163">
        <f t="shared" si="33"/>
        <v>-1.141</v>
      </c>
      <c r="BZ36" s="163"/>
      <c r="CA36" s="163"/>
      <c r="CB36" s="163"/>
      <c r="CC36" s="163"/>
      <c r="CD36" s="163"/>
      <c r="CE36" s="163"/>
      <c r="CF36" s="163"/>
      <c r="CG36" s="106"/>
      <c r="CS36" s="106"/>
    </row>
    <row r="37" spans="1:97" s="107" customFormat="1" x14ac:dyDescent="0.25">
      <c r="A37" s="188"/>
      <c r="B37" s="188"/>
      <c r="C37" s="188"/>
      <c r="D37" s="188"/>
      <c r="E37" s="188"/>
      <c r="F37" s="188"/>
      <c r="G37" s="189"/>
      <c r="H37" s="189"/>
      <c r="I37" s="189"/>
      <c r="J37" s="189"/>
      <c r="K37" s="189"/>
      <c r="L37" s="189"/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  <c r="AA37" s="189"/>
      <c r="AB37" s="189"/>
      <c r="AC37" s="189"/>
      <c r="AD37" s="189"/>
      <c r="AE37" s="189"/>
      <c r="AF37" s="189"/>
      <c r="AG37" s="189"/>
      <c r="AH37" s="189"/>
      <c r="AI37" s="189"/>
      <c r="AJ37" s="189"/>
      <c r="AK37" s="189"/>
      <c r="AL37" s="189"/>
      <c r="AM37" s="189"/>
      <c r="AN37" s="189"/>
      <c r="AO37" s="189"/>
      <c r="AP37" s="189"/>
      <c r="AQ37" s="189"/>
      <c r="AR37" s="163"/>
      <c r="AS37" s="163"/>
      <c r="AT37" s="163"/>
      <c r="AU37" s="163"/>
      <c r="AV37" s="163"/>
      <c r="AW37" s="163"/>
      <c r="AX37" s="163"/>
      <c r="AY37" s="163"/>
      <c r="AZ37" s="153">
        <f>AY34*AW34</f>
        <v>2763.9372202106388</v>
      </c>
      <c r="BA37" s="308"/>
      <c r="BB37" s="308"/>
      <c r="BC37" s="308"/>
      <c r="BD37" s="309"/>
      <c r="BE37" s="309"/>
      <c r="BF37" s="308"/>
      <c r="BG37" s="308"/>
      <c r="BH37" s="163"/>
      <c r="BI37" s="163"/>
      <c r="BJ37" s="163"/>
      <c r="BK37" s="106"/>
      <c r="BL37" s="106"/>
      <c r="BM37" s="106"/>
      <c r="BN37" s="106"/>
      <c r="BO37" s="106"/>
      <c r="BP37" s="106"/>
      <c r="BQ37" s="106"/>
      <c r="BR37" s="106"/>
      <c r="BS37" s="106"/>
      <c r="BT37" s="745" t="str">
        <f t="shared" si="28"/>
        <v/>
      </c>
      <c r="BU37" s="163">
        <f t="shared" si="29"/>
        <v>0</v>
      </c>
      <c r="BV37" s="163"/>
      <c r="BW37" s="163"/>
      <c r="BX37" s="745" t="str">
        <f t="shared" si="32"/>
        <v/>
      </c>
      <c r="BY37" s="163">
        <f t="shared" si="33"/>
        <v>0</v>
      </c>
      <c r="BZ37" s="163"/>
      <c r="CA37" s="163"/>
      <c r="CB37" s="163"/>
      <c r="CC37" s="163"/>
      <c r="CD37" s="163"/>
      <c r="CE37" s="163"/>
      <c r="CF37" s="163"/>
      <c r="CG37" s="106"/>
      <c r="CS37" s="106"/>
    </row>
    <row r="38" spans="1:97" s="107" customFormat="1" hidden="1" x14ac:dyDescent="0.25">
      <c r="A38" s="188"/>
      <c r="B38" s="188"/>
      <c r="C38" s="188"/>
      <c r="D38" s="188"/>
      <c r="E38" s="188"/>
      <c r="F38" s="188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  <c r="AC38" s="189"/>
      <c r="AD38" s="189"/>
      <c r="AE38" s="189"/>
      <c r="AF38" s="189"/>
      <c r="AG38" s="189"/>
      <c r="AH38" s="189"/>
      <c r="AI38" s="189"/>
      <c r="AJ38" s="189"/>
      <c r="AK38" s="189"/>
      <c r="AL38" s="189"/>
      <c r="AM38" s="189"/>
      <c r="AN38" s="189"/>
      <c r="AO38" s="189"/>
      <c r="AP38" s="189"/>
      <c r="AQ38" s="189"/>
      <c r="AR38" s="163"/>
      <c r="AS38" s="163"/>
      <c r="AT38" s="163"/>
      <c r="AU38" s="163"/>
      <c r="AV38" s="163"/>
      <c r="AW38" s="163"/>
      <c r="AX38" s="163"/>
      <c r="AY38" s="163"/>
      <c r="AZ38" s="308"/>
      <c r="BA38" s="308"/>
      <c r="BB38" s="308"/>
      <c r="BC38" s="308"/>
      <c r="BD38" s="309"/>
      <c r="BE38" s="309"/>
      <c r="BF38" s="308"/>
      <c r="BG38" s="308"/>
      <c r="BH38" s="163"/>
      <c r="BI38" s="163"/>
      <c r="BJ38" s="163"/>
      <c r="BK38" s="106"/>
      <c r="BL38" s="106"/>
      <c r="BM38" s="106"/>
      <c r="BN38" s="106"/>
      <c r="BO38" s="106"/>
      <c r="BP38" s="106"/>
      <c r="BQ38" s="106"/>
      <c r="BR38" s="106"/>
      <c r="BS38" s="106"/>
      <c r="BT38" s="745" t="str">
        <f t="shared" si="28"/>
        <v/>
      </c>
      <c r="BU38" s="163">
        <f t="shared" si="29"/>
        <v>0</v>
      </c>
      <c r="BV38" s="163"/>
      <c r="BW38" s="163"/>
      <c r="BX38" s="745" t="str">
        <f t="shared" si="32"/>
        <v/>
      </c>
      <c r="BY38" s="163">
        <f t="shared" si="33"/>
        <v>0</v>
      </c>
      <c r="BZ38" s="163"/>
      <c r="CA38" s="163"/>
      <c r="CB38" s="163"/>
      <c r="CC38" s="163"/>
      <c r="CD38" s="163"/>
      <c r="CE38" s="163"/>
      <c r="CF38" s="163"/>
      <c r="CG38" s="106"/>
      <c r="CS38" s="106"/>
    </row>
    <row r="39" spans="1:97" ht="19.5" customHeight="1" x14ac:dyDescent="0.25">
      <c r="A39" s="842" t="s">
        <v>444</v>
      </c>
      <c r="B39" s="842"/>
      <c r="C39" s="842"/>
      <c r="D39" s="842"/>
      <c r="E39" s="842"/>
      <c r="F39" s="842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233"/>
      <c r="AA39" s="233"/>
      <c r="AB39" s="233"/>
      <c r="AC39" s="233"/>
      <c r="AD39" s="233"/>
      <c r="AE39" s="233"/>
      <c r="AF39" s="233"/>
      <c r="AG39" s="233"/>
      <c r="AH39" s="233"/>
      <c r="AJ39" s="353"/>
      <c r="AK39" s="353"/>
      <c r="AL39" s="353"/>
      <c r="AM39" s="353"/>
      <c r="AN39" s="353"/>
      <c r="AO39" s="353"/>
      <c r="AP39" s="353"/>
      <c r="AQ39" s="353"/>
      <c r="BT39" s="746" t="str">
        <f t="shared" si="28"/>
        <v/>
      </c>
      <c r="BU39" s="28">
        <f t="shared" si="29"/>
        <v>0</v>
      </c>
      <c r="BX39" s="746" t="str">
        <f t="shared" si="32"/>
        <v/>
      </c>
      <c r="BY39" s="28">
        <f t="shared" si="33"/>
        <v>0</v>
      </c>
      <c r="CF39" s="34"/>
    </row>
    <row r="40" spans="1:97" ht="20.25" customHeight="1" x14ac:dyDescent="0.25">
      <c r="A40" s="219" t="s">
        <v>447</v>
      </c>
      <c r="B40" s="219"/>
      <c r="C40" s="346">
        <f>SUM(C10:C33)</f>
        <v>24.001616666384507</v>
      </c>
      <c r="D40" s="253"/>
      <c r="E40" s="253"/>
      <c r="F40" s="253"/>
      <c r="G40" s="184"/>
      <c r="I40" s="184"/>
      <c r="J40" s="184"/>
      <c r="K40" s="184"/>
      <c r="L40" s="184"/>
      <c r="M40" s="184"/>
      <c r="N40" s="184"/>
      <c r="O40" s="184"/>
      <c r="P40" s="185"/>
      <c r="AJ40" s="186"/>
      <c r="AK40" s="186"/>
      <c r="AL40" s="354"/>
      <c r="AM40" s="354"/>
      <c r="AN40" s="354"/>
      <c r="AO40" s="354"/>
      <c r="AP40" s="354"/>
      <c r="AQ40" s="354"/>
      <c r="AR40" s="355"/>
      <c r="AS40" s="355"/>
      <c r="AT40" s="355"/>
      <c r="AU40" s="355"/>
      <c r="AV40" s="355"/>
      <c r="AW40" s="355"/>
      <c r="AX40" s="355"/>
      <c r="AY40" s="355"/>
      <c r="AZ40" s="355"/>
      <c r="BA40" s="355"/>
      <c r="BB40" s="355"/>
      <c r="BC40" s="355"/>
      <c r="BD40" s="355"/>
      <c r="BE40" s="355"/>
      <c r="BF40" s="355"/>
      <c r="BG40" s="355"/>
      <c r="BH40" s="355"/>
      <c r="BI40" s="355"/>
      <c r="BJ40" s="355"/>
      <c r="BK40" s="355"/>
      <c r="BL40" s="355"/>
      <c r="BM40" s="355"/>
      <c r="BN40" s="355"/>
      <c r="BO40" s="355"/>
      <c r="BP40" s="355"/>
      <c r="BQ40" s="355"/>
      <c r="BR40" s="355"/>
      <c r="BS40" s="355"/>
      <c r="BT40" s="747" t="str">
        <f t="shared" si="28"/>
        <v/>
      </c>
      <c r="BU40" s="355">
        <f t="shared" si="29"/>
        <v>0</v>
      </c>
      <c r="BV40" s="355"/>
      <c r="BW40" s="355"/>
      <c r="BX40" s="747" t="str">
        <f t="shared" si="32"/>
        <v/>
      </c>
      <c r="BY40" s="355">
        <f t="shared" si="33"/>
        <v>0</v>
      </c>
      <c r="BZ40" s="355"/>
      <c r="CA40" s="355"/>
      <c r="CB40" s="355"/>
      <c r="CC40" s="355"/>
      <c r="CD40" s="355"/>
      <c r="CE40" s="355"/>
      <c r="CF40" s="355"/>
      <c r="CG40" s="355"/>
      <c r="CH40" s="355"/>
      <c r="CI40" s="355"/>
      <c r="CJ40" s="355"/>
      <c r="CK40" s="355"/>
      <c r="CL40" s="355"/>
      <c r="CM40" s="355"/>
      <c r="CN40" s="355"/>
      <c r="CO40" s="355"/>
      <c r="CP40" s="355"/>
      <c r="CQ40" s="355"/>
      <c r="CR40" s="355"/>
    </row>
    <row r="41" spans="1:97" ht="27.75" customHeight="1" x14ac:dyDescent="0.25">
      <c r="A41" s="219" t="s">
        <v>452</v>
      </c>
      <c r="B41" s="219"/>
      <c r="C41" s="221">
        <f>H34</f>
        <v>3495.0829999999996</v>
      </c>
      <c r="D41" s="253"/>
      <c r="E41" s="253"/>
      <c r="F41" s="253"/>
      <c r="G41" s="184"/>
      <c r="I41" s="184"/>
      <c r="J41" s="184"/>
      <c r="K41" s="184"/>
      <c r="L41" s="184"/>
      <c r="M41" s="185"/>
      <c r="N41" s="184"/>
      <c r="O41" s="184"/>
      <c r="P41" s="185"/>
      <c r="AJ41" s="186"/>
      <c r="AK41" s="186"/>
      <c r="AL41" s="354"/>
      <c r="AM41" s="354"/>
      <c r="AN41" s="354"/>
      <c r="AO41" s="354"/>
      <c r="AP41" s="354"/>
      <c r="AQ41" s="354"/>
      <c r="AR41" s="355"/>
      <c r="AS41" s="355"/>
      <c r="AT41" s="355"/>
      <c r="AU41" s="355"/>
      <c r="AV41" s="355"/>
      <c r="AW41" s="355"/>
      <c r="AX41" s="355"/>
      <c r="AY41" s="355"/>
      <c r="AZ41" s="355"/>
      <c r="BA41" s="355"/>
      <c r="BB41" s="355"/>
      <c r="BC41" s="355"/>
      <c r="BD41" s="355"/>
      <c r="BE41" s="355"/>
      <c r="BF41" s="355"/>
      <c r="BG41" s="355"/>
      <c r="BH41" s="355"/>
      <c r="BI41" s="355"/>
      <c r="BJ41" s="355"/>
      <c r="BK41" s="355"/>
      <c r="BL41" s="355"/>
      <c r="BM41" s="355"/>
      <c r="BN41" s="355"/>
      <c r="BO41" s="355"/>
      <c r="BP41" s="355"/>
      <c r="BQ41" s="355"/>
      <c r="BR41" s="355"/>
      <c r="BS41" s="355"/>
      <c r="BT41" s="747" t="str">
        <f t="shared" si="28"/>
        <v/>
      </c>
      <c r="BU41" s="355">
        <f t="shared" si="29"/>
        <v>0</v>
      </c>
      <c r="BV41" s="355"/>
      <c r="BW41" s="355"/>
      <c r="BX41" s="747" t="str">
        <f t="shared" si="32"/>
        <v/>
      </c>
      <c r="BY41" s="355">
        <f t="shared" si="33"/>
        <v>0</v>
      </c>
      <c r="BZ41" s="355"/>
      <c r="CA41" s="355"/>
      <c r="CB41" s="355"/>
      <c r="CC41" s="355"/>
      <c r="CD41" s="355"/>
      <c r="CE41" s="355"/>
      <c r="CF41" s="355"/>
      <c r="CG41" s="355"/>
      <c r="CH41" s="355"/>
      <c r="CI41" s="355"/>
      <c r="CJ41" s="355"/>
      <c r="CK41" s="355"/>
      <c r="CL41" s="355"/>
      <c r="CM41" s="356"/>
      <c r="CN41" s="356"/>
      <c r="CO41" s="356"/>
      <c r="CP41" s="356"/>
      <c r="CQ41" s="356"/>
      <c r="CR41" s="356"/>
    </row>
    <row r="42" spans="1:97" ht="36" customHeight="1" x14ac:dyDescent="0.25">
      <c r="A42" s="219" t="s">
        <v>454</v>
      </c>
      <c r="B42" s="219"/>
      <c r="C42" s="221">
        <f>I34</f>
        <v>0</v>
      </c>
      <c r="D42" s="253"/>
      <c r="E42" s="253"/>
      <c r="F42" s="253"/>
      <c r="G42" s="184"/>
      <c r="H42" s="108"/>
      <c r="I42" s="184"/>
      <c r="K42" s="184"/>
      <c r="L42" s="184"/>
      <c r="M42" s="185"/>
      <c r="N42" s="184"/>
      <c r="O42" s="184"/>
      <c r="P42" s="185"/>
      <c r="Q42" s="186"/>
      <c r="R42" s="187"/>
      <c r="S42" s="186"/>
      <c r="V42" s="186"/>
      <c r="W42" s="186"/>
      <c r="X42" s="186"/>
      <c r="Y42" s="186"/>
      <c r="Z42" s="186"/>
      <c r="AA42" s="186"/>
      <c r="AB42" s="186"/>
      <c r="AC42" s="186"/>
      <c r="AD42" s="186"/>
      <c r="AE42" s="186"/>
      <c r="AF42" s="186"/>
      <c r="AG42" s="186"/>
      <c r="AH42" s="186"/>
      <c r="AJ42" s="186"/>
      <c r="AK42" s="186"/>
      <c r="AL42" s="354"/>
      <c r="AM42" s="354"/>
      <c r="AN42" s="354"/>
      <c r="AO42" s="354"/>
      <c r="AP42" s="354"/>
      <c r="AQ42" s="354"/>
      <c r="AR42" s="355"/>
      <c r="AS42" s="355"/>
      <c r="AT42" s="355"/>
      <c r="AU42" s="355"/>
      <c r="AV42" s="355"/>
      <c r="AW42" s="355"/>
      <c r="AX42" s="355"/>
      <c r="AY42" s="355"/>
      <c r="AZ42" s="355"/>
      <c r="BA42" s="355"/>
      <c r="BB42" s="355"/>
      <c r="BC42" s="355"/>
      <c r="BD42" s="355"/>
      <c r="BE42" s="355"/>
      <c r="BF42" s="355"/>
      <c r="BG42" s="355"/>
      <c r="BH42" s="355"/>
      <c r="BI42" s="355"/>
      <c r="BJ42" s="355"/>
      <c r="BK42" s="355"/>
      <c r="BL42" s="355"/>
      <c r="BM42" s="355"/>
      <c r="BN42" s="355"/>
      <c r="BO42" s="355"/>
      <c r="BP42" s="355"/>
      <c r="BQ42" s="355"/>
      <c r="BR42" s="355"/>
      <c r="BS42" s="355"/>
      <c r="BT42" s="747" t="str">
        <f t="shared" si="28"/>
        <v/>
      </c>
      <c r="BU42" s="355">
        <f t="shared" si="29"/>
        <v>0</v>
      </c>
      <c r="BV42" s="355"/>
      <c r="BW42" s="355"/>
      <c r="BX42" s="747" t="str">
        <f t="shared" si="32"/>
        <v/>
      </c>
      <c r="BY42" s="355">
        <f t="shared" si="33"/>
        <v>0</v>
      </c>
      <c r="BZ42" s="355"/>
      <c r="CA42" s="355"/>
      <c r="CB42" s="355"/>
      <c r="CC42" s="355"/>
      <c r="CD42" s="355"/>
      <c r="CE42" s="355"/>
      <c r="CF42" s="355"/>
      <c r="CG42" s="355"/>
      <c r="CH42" s="355"/>
      <c r="CI42" s="355"/>
      <c r="CJ42" s="355"/>
      <c r="CK42" s="355"/>
      <c r="CL42" s="355"/>
      <c r="CM42" s="356"/>
      <c r="CN42" s="356"/>
      <c r="CO42" s="358"/>
      <c r="CP42" s="358"/>
      <c r="CQ42" s="358"/>
      <c r="CR42" s="358"/>
    </row>
    <row r="43" spans="1:97" ht="36" customHeight="1" x14ac:dyDescent="0.25">
      <c r="A43" s="220" t="s">
        <v>456</v>
      </c>
      <c r="B43" s="220"/>
      <c r="C43" s="221">
        <f>J34</f>
        <v>4.237000000000001</v>
      </c>
      <c r="D43" s="254"/>
      <c r="E43" s="254"/>
      <c r="F43" s="254"/>
      <c r="G43" s="108"/>
      <c r="H43" s="108"/>
      <c r="I43" s="184"/>
      <c r="J43" s="108"/>
      <c r="K43" s="108"/>
      <c r="L43" s="108"/>
      <c r="M43" s="108"/>
      <c r="N43" s="108"/>
      <c r="O43" s="108"/>
      <c r="Q43" s="109"/>
      <c r="R43" s="110"/>
      <c r="S43"/>
      <c r="V43"/>
      <c r="W43"/>
      <c r="X43"/>
      <c r="Y43"/>
      <c r="Z43"/>
      <c r="AA43"/>
      <c r="AB43"/>
      <c r="AJ43" s="186"/>
      <c r="AK43" s="186"/>
      <c r="AL43" s="354"/>
      <c r="AM43" s="354"/>
      <c r="AN43" s="354"/>
      <c r="AO43" s="354"/>
      <c r="AP43" s="354"/>
      <c r="AQ43" s="354"/>
      <c r="AR43" s="355"/>
      <c r="AS43" s="355"/>
      <c r="AT43" s="355"/>
      <c r="AU43" s="355"/>
      <c r="AX43" s="355"/>
      <c r="AY43" s="355"/>
      <c r="AZ43" s="355"/>
      <c r="BA43" s="355"/>
      <c r="BB43" s="355"/>
      <c r="BC43" s="355"/>
      <c r="BD43" s="355"/>
      <c r="BE43" s="355"/>
      <c r="BF43" s="355"/>
      <c r="BG43" s="355"/>
      <c r="BH43" s="355"/>
      <c r="BI43" s="355"/>
      <c r="BJ43" s="355"/>
      <c r="BK43" s="355"/>
      <c r="BL43" s="355"/>
      <c r="BM43" s="355"/>
      <c r="BN43" s="355"/>
      <c r="BO43" s="355"/>
      <c r="BP43" s="355"/>
      <c r="BQ43" s="355"/>
      <c r="BR43" s="355"/>
      <c r="BS43" s="355"/>
      <c r="BT43" s="747" t="str">
        <f t="shared" si="28"/>
        <v/>
      </c>
      <c r="BU43" s="355">
        <f t="shared" si="29"/>
        <v>0</v>
      </c>
      <c r="BV43" s="355"/>
      <c r="BW43" s="355"/>
      <c r="BX43" s="747" t="str">
        <f t="shared" si="32"/>
        <v/>
      </c>
      <c r="BY43" s="355">
        <f t="shared" si="33"/>
        <v>0</v>
      </c>
      <c r="BZ43" s="355"/>
      <c r="CA43" s="355"/>
      <c r="CB43" s="355"/>
      <c r="CC43" s="355"/>
      <c r="CD43" s="355"/>
      <c r="CE43" s="355"/>
      <c r="CF43" s="355"/>
      <c r="CG43" s="355"/>
      <c r="CH43" s="355"/>
      <c r="CI43" s="355"/>
      <c r="CJ43" s="355"/>
      <c r="CK43" s="355"/>
      <c r="CL43" s="355"/>
      <c r="CM43" s="355"/>
      <c r="CN43" s="355"/>
      <c r="CO43" s="355"/>
      <c r="CP43" s="355"/>
      <c r="CQ43" s="355"/>
      <c r="CR43" s="355"/>
    </row>
    <row r="44" spans="1:97" ht="36" customHeight="1" x14ac:dyDescent="0.25">
      <c r="A44" s="220" t="s">
        <v>458</v>
      </c>
      <c r="B44" s="220"/>
      <c r="C44" s="221">
        <f>K34</f>
        <v>3495.0829999999996</v>
      </c>
      <c r="D44" s="254"/>
      <c r="E44" s="254"/>
      <c r="F44" s="254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R44" s="34"/>
      <c r="AJ44" s="186"/>
      <c r="AK44" s="186"/>
      <c r="AL44" s="354"/>
      <c r="AM44" s="354"/>
      <c r="AN44" s="354"/>
      <c r="AO44" s="354"/>
      <c r="AP44" s="354"/>
      <c r="AQ44" s="354"/>
      <c r="AR44" s="355"/>
      <c r="AS44" s="355"/>
      <c r="AT44" s="355"/>
      <c r="AU44" s="355"/>
      <c r="AX44" s="355"/>
      <c r="AY44" s="355"/>
      <c r="AZ44" s="355"/>
      <c r="BA44" s="355"/>
      <c r="BB44" s="355"/>
      <c r="BC44" s="355"/>
      <c r="BD44" s="355"/>
      <c r="BE44" s="355"/>
      <c r="BF44" s="355"/>
      <c r="BG44" s="360"/>
      <c r="BH44" s="361"/>
      <c r="BI44" s="361"/>
      <c r="BJ44" s="361"/>
      <c r="BK44" s="355"/>
      <c r="BL44" s="355"/>
      <c r="BM44" s="361"/>
      <c r="BN44" s="361"/>
      <c r="BO44" s="361"/>
      <c r="BP44" s="361"/>
      <c r="BQ44" s="361"/>
      <c r="BR44" s="361"/>
      <c r="BS44" s="361"/>
      <c r="BT44" s="747" t="str">
        <f t="shared" si="28"/>
        <v/>
      </c>
      <c r="BU44" s="355">
        <f t="shared" si="29"/>
        <v>0</v>
      </c>
      <c r="BV44" s="355"/>
      <c r="BW44" s="355"/>
      <c r="BX44" s="747" t="str">
        <f t="shared" si="32"/>
        <v/>
      </c>
      <c r="BY44" s="355">
        <f t="shared" si="33"/>
        <v>0</v>
      </c>
      <c r="BZ44" s="355"/>
      <c r="CA44" s="355"/>
      <c r="CB44" s="355"/>
      <c r="CC44" s="355"/>
      <c r="CD44" s="355"/>
      <c r="CE44" s="355"/>
      <c r="CF44" s="355"/>
      <c r="CG44" s="355"/>
      <c r="CH44" s="355"/>
      <c r="CI44" s="355"/>
      <c r="CJ44" s="355"/>
      <c r="CK44" s="355"/>
      <c r="CL44" s="355"/>
      <c r="CM44" s="355"/>
      <c r="CN44" s="355"/>
      <c r="CO44" s="355"/>
      <c r="CP44" s="355"/>
      <c r="CQ44" s="355"/>
      <c r="CR44" s="355"/>
    </row>
    <row r="45" spans="1:97" ht="36" customHeight="1" x14ac:dyDescent="0.25">
      <c r="A45" s="220" t="s">
        <v>460</v>
      </c>
      <c r="B45" s="220"/>
      <c r="C45" s="221">
        <f>L34</f>
        <v>3499.32</v>
      </c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AJ45" s="186"/>
      <c r="AK45" s="186"/>
      <c r="AL45" s="354"/>
      <c r="AM45" s="354"/>
      <c r="AN45" s="354"/>
      <c r="AO45" s="354"/>
      <c r="AP45" s="354"/>
      <c r="AQ45" s="354"/>
      <c r="AR45" s="355"/>
      <c r="AS45" s="355"/>
      <c r="AT45" s="355"/>
      <c r="AU45" s="355"/>
      <c r="AX45" s="355"/>
      <c r="AY45" s="355"/>
      <c r="AZ45" s="355"/>
      <c r="BA45" s="355"/>
      <c r="BB45" s="355"/>
      <c r="BC45" s="355"/>
      <c r="BD45" s="355"/>
      <c r="BE45" s="355"/>
      <c r="BF45" s="355"/>
      <c r="BG45" s="360"/>
      <c r="BH45" s="361"/>
      <c r="BI45" s="361"/>
      <c r="BJ45" s="361"/>
      <c r="BK45" s="355"/>
      <c r="BL45" s="355"/>
      <c r="BM45" s="355"/>
      <c r="BN45" s="355"/>
      <c r="BO45" s="355"/>
      <c r="BP45" s="355"/>
      <c r="BQ45" s="355"/>
      <c r="BR45" s="355"/>
      <c r="BS45" s="355"/>
      <c r="BT45" s="747" t="str">
        <f t="shared" si="28"/>
        <v/>
      </c>
      <c r="BU45" s="355">
        <f t="shared" si="29"/>
        <v>0</v>
      </c>
      <c r="BV45" s="355"/>
      <c r="BW45" s="355"/>
      <c r="BX45" s="747" t="str">
        <f t="shared" si="32"/>
        <v/>
      </c>
      <c r="BY45" s="355">
        <f t="shared" si="33"/>
        <v>0</v>
      </c>
      <c r="BZ45" s="355"/>
      <c r="CA45" s="355"/>
      <c r="CB45" s="355"/>
      <c r="CC45" s="355"/>
      <c r="CD45" s="355"/>
      <c r="CE45" s="355"/>
      <c r="CF45" s="355"/>
      <c r="CG45" s="355"/>
      <c r="CH45" s="355"/>
      <c r="CI45" s="355"/>
      <c r="CJ45" s="355"/>
      <c r="CK45" s="355"/>
      <c r="CL45" s="355"/>
      <c r="CM45" s="355"/>
      <c r="CN45" s="355"/>
      <c r="CO45" s="355"/>
      <c r="CP45" s="355"/>
      <c r="CQ45" s="355"/>
      <c r="CR45" s="355"/>
    </row>
    <row r="46" spans="1:97" ht="36" customHeight="1" x14ac:dyDescent="0.25">
      <c r="A46" s="222" t="s">
        <v>461</v>
      </c>
      <c r="B46" s="220"/>
      <c r="C46" s="347">
        <f>AN34</f>
        <v>2566.3223299999995</v>
      </c>
      <c r="D46" s="111"/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R46" s="34"/>
      <c r="S46" s="109"/>
      <c r="T46" s="109"/>
      <c r="U46" s="109"/>
      <c r="V46" s="109"/>
      <c r="W46" s="109"/>
      <c r="X46" s="109"/>
      <c r="Y46" s="109"/>
      <c r="Z46" s="109"/>
      <c r="AA46" s="109"/>
      <c r="AB46" s="109"/>
      <c r="AJ46" s="186"/>
      <c r="AK46" s="186"/>
      <c r="AL46" s="354"/>
      <c r="AM46" s="354"/>
      <c r="AN46" s="354"/>
      <c r="AO46" s="354"/>
      <c r="AP46" s="354"/>
      <c r="AQ46" s="354"/>
      <c r="AR46" s="355"/>
      <c r="AS46" s="355"/>
      <c r="AT46" s="355"/>
      <c r="AU46" s="355"/>
      <c r="AV46" s="355"/>
      <c r="AW46" s="355"/>
      <c r="AX46" s="355"/>
      <c r="AY46" s="355"/>
      <c r="AZ46" s="355"/>
      <c r="BA46" s="355"/>
      <c r="BB46" s="355"/>
      <c r="BC46" s="355"/>
      <c r="BD46" s="355"/>
      <c r="BE46" s="355"/>
      <c r="BF46" s="355"/>
      <c r="BG46" s="360"/>
      <c r="BH46" s="362"/>
      <c r="BI46" s="362"/>
      <c r="BJ46" s="362"/>
      <c r="BK46" s="355"/>
      <c r="BL46" s="355"/>
      <c r="BM46" s="355"/>
      <c r="BN46" s="355"/>
      <c r="BO46" s="355"/>
      <c r="BP46" s="355"/>
      <c r="BQ46" s="355"/>
      <c r="BR46" s="355"/>
      <c r="BS46" s="355"/>
      <c r="BT46" s="747" t="str">
        <f t="shared" si="28"/>
        <v/>
      </c>
      <c r="BU46" s="355">
        <f t="shared" si="29"/>
        <v>0</v>
      </c>
      <c r="BV46" s="355"/>
      <c r="BW46" s="355"/>
      <c r="BX46" s="747" t="str">
        <f t="shared" si="32"/>
        <v/>
      </c>
      <c r="BY46" s="355">
        <f t="shared" si="33"/>
        <v>0</v>
      </c>
      <c r="BZ46" s="355"/>
      <c r="CA46" s="355"/>
      <c r="CB46" s="355"/>
      <c r="CC46" s="355"/>
      <c r="CD46" s="355"/>
      <c r="CE46" s="355"/>
      <c r="CF46" s="355"/>
      <c r="CG46" s="355"/>
      <c r="CH46" s="355"/>
      <c r="CI46" s="355"/>
      <c r="CJ46" s="355"/>
      <c r="CK46" s="355"/>
      <c r="CL46" s="355"/>
      <c r="CM46" s="355"/>
      <c r="CN46" s="355"/>
      <c r="CO46" s="355"/>
      <c r="CP46" s="355"/>
      <c r="CQ46" s="355"/>
      <c r="CR46" s="355"/>
    </row>
    <row r="47" spans="1:97" ht="36" customHeight="1" x14ac:dyDescent="0.25">
      <c r="A47" s="222" t="s">
        <v>462</v>
      </c>
      <c r="B47" s="220"/>
      <c r="C47" s="347">
        <f>AP34</f>
        <v>625.80949999999996</v>
      </c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R47" s="34"/>
      <c r="AJ47" s="186"/>
      <c r="AK47" s="186"/>
      <c r="AL47" s="354"/>
      <c r="AM47" s="354"/>
      <c r="AN47" s="354"/>
      <c r="AO47" s="354"/>
      <c r="AP47" s="354"/>
      <c r="AQ47" s="354"/>
      <c r="AR47" s="355"/>
      <c r="AS47" s="355"/>
      <c r="AT47" s="355"/>
      <c r="AU47" s="355"/>
      <c r="AV47" s="355"/>
      <c r="AW47" s="355"/>
      <c r="AX47" s="355"/>
      <c r="AY47" s="355"/>
      <c r="AZ47" s="355"/>
      <c r="BA47" s="355"/>
      <c r="BB47" s="355"/>
      <c r="BC47" s="355"/>
      <c r="BD47" s="355"/>
      <c r="BE47" s="355"/>
      <c r="BF47" s="355"/>
      <c r="BG47" s="360"/>
      <c r="BH47" s="362"/>
      <c r="BI47" s="362"/>
      <c r="BJ47" s="362"/>
      <c r="BK47" s="355"/>
      <c r="BL47" s="355"/>
      <c r="BM47" s="355"/>
      <c r="BN47" s="355"/>
      <c r="BO47" s="355"/>
      <c r="BP47" s="355"/>
      <c r="BQ47" s="355"/>
      <c r="BR47" s="355"/>
      <c r="BS47" s="355"/>
      <c r="BT47" s="747" t="str">
        <f t="shared" si="28"/>
        <v/>
      </c>
      <c r="BU47" s="355">
        <f t="shared" si="29"/>
        <v>0</v>
      </c>
      <c r="BV47" s="355"/>
      <c r="BW47" s="355"/>
      <c r="BX47" s="747" t="str">
        <f t="shared" si="32"/>
        <v/>
      </c>
      <c r="BY47" s="355">
        <f t="shared" si="33"/>
        <v>0</v>
      </c>
      <c r="BZ47" s="355"/>
      <c r="CA47" s="355"/>
      <c r="CB47" s="355"/>
      <c r="CC47" s="355"/>
      <c r="CD47" s="355"/>
      <c r="CE47" s="355"/>
      <c r="CF47" s="355"/>
      <c r="CG47" s="355"/>
      <c r="CH47" s="355"/>
      <c r="CI47" s="355"/>
      <c r="CJ47" s="355"/>
      <c r="CK47" s="355"/>
      <c r="CL47" s="355"/>
      <c r="CM47" s="355"/>
      <c r="CN47" s="355"/>
      <c r="CO47" s="355"/>
      <c r="CP47" s="355"/>
      <c r="CQ47" s="355"/>
      <c r="CR47" s="355"/>
    </row>
    <row r="48" spans="1:97" ht="36" customHeight="1" x14ac:dyDescent="0.25">
      <c r="A48" s="222" t="s">
        <v>463</v>
      </c>
      <c r="B48" s="220"/>
      <c r="C48" s="347">
        <f>AQ34</f>
        <v>35.60499999999999</v>
      </c>
      <c r="D48" s="111"/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R48" s="34"/>
      <c r="AJ48" s="186"/>
      <c r="AK48" s="186"/>
      <c r="AL48" s="354"/>
      <c r="AM48" s="354"/>
      <c r="AN48" s="354"/>
      <c r="AO48" s="354"/>
      <c r="AP48" s="354"/>
      <c r="AQ48" s="354"/>
      <c r="AR48" s="355"/>
      <c r="AS48" s="355"/>
      <c r="AT48" s="355"/>
      <c r="AU48" s="355"/>
      <c r="AV48" s="355"/>
      <c r="AW48" s="355"/>
      <c r="AX48" s="355"/>
      <c r="AY48" s="355"/>
      <c r="AZ48" s="355"/>
      <c r="BA48" s="355"/>
      <c r="BB48" s="355"/>
      <c r="BC48" s="355"/>
      <c r="BD48" s="355"/>
      <c r="BE48" s="355"/>
      <c r="BF48" s="355"/>
      <c r="BG48" s="355"/>
      <c r="BH48" s="355"/>
      <c r="BI48" s="355"/>
      <c r="BJ48" s="355"/>
      <c r="BK48" s="355"/>
      <c r="BL48" s="355"/>
      <c r="BM48" s="355"/>
      <c r="BN48" s="355"/>
      <c r="BO48" s="355"/>
      <c r="BP48" s="355"/>
      <c r="BQ48" s="355"/>
      <c r="BR48" s="355"/>
      <c r="BS48" s="355"/>
      <c r="BT48" s="747" t="str">
        <f t="shared" si="28"/>
        <v/>
      </c>
      <c r="BU48" s="355">
        <f t="shared" si="29"/>
        <v>0</v>
      </c>
      <c r="BV48" s="355"/>
      <c r="BW48" s="363"/>
      <c r="BX48" s="747" t="str">
        <f t="shared" si="32"/>
        <v/>
      </c>
      <c r="BY48" s="355">
        <f t="shared" si="33"/>
        <v>0</v>
      </c>
      <c r="BZ48" s="355"/>
      <c r="CA48" s="355"/>
      <c r="CB48" s="355"/>
      <c r="CC48" s="355"/>
      <c r="CD48" s="355"/>
      <c r="CE48" s="355"/>
      <c r="CF48" s="355"/>
      <c r="CG48" s="355"/>
      <c r="CH48" s="355"/>
      <c r="CI48" s="355"/>
      <c r="CJ48" s="355"/>
      <c r="CK48" s="355"/>
      <c r="CL48" s="355"/>
      <c r="CM48" s="355"/>
      <c r="CN48" s="355"/>
      <c r="CO48" s="355"/>
      <c r="CP48" s="355"/>
      <c r="CQ48" s="355"/>
      <c r="CR48" s="355"/>
    </row>
    <row r="49" spans="1:96" ht="36" customHeight="1" x14ac:dyDescent="0.25">
      <c r="A49" s="222" t="s">
        <v>464</v>
      </c>
      <c r="B49" s="220"/>
      <c r="C49" s="347">
        <f>AR34</f>
        <v>3192.1318300000003</v>
      </c>
      <c r="D49" s="111">
        <f>C46+C47</f>
        <v>3192.1318299999994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R49" s="34"/>
      <c r="AJ49" s="186"/>
      <c r="AK49" s="186"/>
      <c r="AL49" s="354"/>
      <c r="AM49" s="354"/>
      <c r="AN49" s="354"/>
      <c r="AO49" s="354"/>
      <c r="AP49" s="354"/>
      <c r="AQ49" s="354"/>
      <c r="AR49" s="355"/>
      <c r="AS49" s="355"/>
      <c r="AT49" s="355"/>
      <c r="AU49" s="355"/>
      <c r="AV49" s="355"/>
      <c r="AW49" s="355"/>
      <c r="AX49" s="355"/>
      <c r="AY49" s="355"/>
      <c r="AZ49" s="355"/>
      <c r="BA49" s="355"/>
      <c r="BB49" s="355"/>
      <c r="BC49" s="355"/>
      <c r="BD49" s="355"/>
      <c r="BE49" s="355"/>
      <c r="BF49" s="355"/>
      <c r="BG49" s="355"/>
      <c r="BH49" s="355"/>
      <c r="BI49" s="355"/>
      <c r="BJ49" s="355"/>
      <c r="BK49" s="355"/>
      <c r="BL49" s="355"/>
      <c r="BM49" s="355"/>
      <c r="BN49" s="355"/>
      <c r="BO49" s="355"/>
      <c r="BP49" s="355"/>
      <c r="BQ49" s="355"/>
      <c r="BR49" s="355"/>
      <c r="BS49" s="355"/>
      <c r="BT49" s="747" t="str">
        <f t="shared" si="28"/>
        <v/>
      </c>
      <c r="BU49" s="355">
        <f t="shared" si="29"/>
        <v>0</v>
      </c>
      <c r="BV49" s="364"/>
      <c r="BW49" s="363"/>
      <c r="BX49" s="747" t="str">
        <f t="shared" si="32"/>
        <v/>
      </c>
      <c r="BY49" s="355">
        <f t="shared" si="33"/>
        <v>0</v>
      </c>
      <c r="BZ49" s="355"/>
      <c r="CA49" s="355"/>
      <c r="CB49" s="355"/>
      <c r="CC49" s="355"/>
      <c r="CD49" s="355"/>
      <c r="CE49" s="355"/>
      <c r="CF49" s="355"/>
      <c r="CG49" s="355"/>
      <c r="CH49" s="355"/>
      <c r="CI49" s="355"/>
      <c r="CJ49" s="355"/>
      <c r="CK49" s="355"/>
      <c r="CL49" s="355"/>
      <c r="CM49" s="355"/>
      <c r="CN49" s="355"/>
      <c r="CO49" s="355"/>
      <c r="CP49" s="355"/>
      <c r="CQ49" s="355"/>
      <c r="CR49" s="355"/>
    </row>
    <row r="50" spans="1:96" ht="36" customHeight="1" x14ac:dyDescent="0.25">
      <c r="A50" s="222" t="s">
        <v>465</v>
      </c>
      <c r="B50" s="220"/>
      <c r="C50" s="347">
        <f>AS34</f>
        <v>3227.7368299999998</v>
      </c>
      <c r="D50" s="111">
        <f>C49+C48</f>
        <v>3227.7368300000003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R50" s="34"/>
      <c r="AJ50" s="186"/>
      <c r="AK50" s="186"/>
      <c r="AL50" s="354"/>
      <c r="AM50" s="354"/>
      <c r="AN50" s="354"/>
      <c r="AO50" s="354"/>
      <c r="AP50" s="354"/>
      <c r="AQ50" s="354"/>
      <c r="AR50" s="355"/>
      <c r="AS50" s="355"/>
      <c r="AT50" s="355"/>
      <c r="AU50" s="355"/>
      <c r="AV50" s="355"/>
      <c r="AW50" s="355"/>
      <c r="AX50" s="355"/>
      <c r="AY50" s="355"/>
      <c r="AZ50" s="355"/>
      <c r="BA50" s="355"/>
      <c r="BB50" s="355"/>
      <c r="BC50" s="355"/>
      <c r="BD50" s="355"/>
      <c r="BE50" s="355"/>
      <c r="BF50" s="355"/>
      <c r="BG50" s="355"/>
      <c r="BH50" s="363"/>
      <c r="BI50" s="363"/>
      <c r="BJ50" s="363"/>
      <c r="BK50" s="355"/>
      <c r="BL50" s="355"/>
      <c r="BM50" s="355"/>
      <c r="BN50" s="355"/>
      <c r="BO50" s="355"/>
      <c r="BP50" s="355"/>
      <c r="BQ50" s="355"/>
      <c r="BR50" s="355"/>
      <c r="BS50" s="355"/>
      <c r="BT50" s="747" t="str">
        <f t="shared" si="28"/>
        <v/>
      </c>
      <c r="BU50" s="355">
        <f t="shared" si="29"/>
        <v>0</v>
      </c>
      <c r="BV50" s="355"/>
      <c r="BW50" s="355"/>
      <c r="BX50" s="747" t="str">
        <f t="shared" si="32"/>
        <v/>
      </c>
      <c r="BY50" s="355">
        <f t="shared" si="33"/>
        <v>0</v>
      </c>
      <c r="BZ50" s="355"/>
      <c r="CA50" s="355"/>
      <c r="CB50" s="355"/>
      <c r="CC50" s="355"/>
      <c r="CD50" s="355"/>
      <c r="CE50" s="355"/>
      <c r="CF50" s="355"/>
      <c r="CG50" s="355"/>
      <c r="CH50" s="355"/>
      <c r="CI50" s="355"/>
      <c r="CJ50" s="355"/>
      <c r="CK50" s="355"/>
      <c r="CL50" s="355"/>
      <c r="CM50" s="355"/>
      <c r="CN50" s="355"/>
      <c r="CO50" s="355"/>
      <c r="CP50" s="355"/>
      <c r="CQ50" s="355"/>
      <c r="CR50" s="355"/>
    </row>
    <row r="51" spans="1:96" ht="36" customHeight="1" x14ac:dyDescent="0.25">
      <c r="AJ51" s="186"/>
      <c r="AK51" s="186"/>
      <c r="AL51" s="354"/>
      <c r="AM51" s="354"/>
      <c r="AN51" s="354"/>
      <c r="AO51" s="354"/>
      <c r="AP51" s="354"/>
      <c r="AQ51" s="354"/>
      <c r="AR51" s="355"/>
      <c r="AS51" s="355"/>
      <c r="AT51" s="355"/>
      <c r="AU51" s="355"/>
      <c r="AV51" s="355"/>
      <c r="AW51" s="355"/>
      <c r="AX51" s="355"/>
      <c r="AY51" s="355"/>
      <c r="AZ51" s="355"/>
      <c r="BA51" s="355"/>
      <c r="BB51" s="355"/>
      <c r="BC51" s="355"/>
      <c r="BD51" s="355"/>
      <c r="BE51" s="355"/>
      <c r="BF51" s="355"/>
      <c r="BG51" s="355"/>
      <c r="BH51" s="355"/>
      <c r="BI51" s="355"/>
      <c r="BJ51" s="355"/>
      <c r="BK51" s="355"/>
      <c r="BL51" s="355"/>
      <c r="BM51" s="355"/>
      <c r="BN51" s="355"/>
      <c r="BO51" s="355"/>
      <c r="BP51" s="355"/>
      <c r="BQ51" s="355"/>
      <c r="BR51" s="355"/>
      <c r="BS51" s="355"/>
      <c r="BT51" s="747" t="str">
        <f t="shared" si="28"/>
        <v/>
      </c>
      <c r="BU51" s="355">
        <f t="shared" si="29"/>
        <v>0</v>
      </c>
      <c r="BV51" s="355"/>
      <c r="BW51" s="355"/>
      <c r="BX51" s="747" t="str">
        <f t="shared" si="32"/>
        <v/>
      </c>
      <c r="BY51" s="355">
        <f t="shared" si="33"/>
        <v>0</v>
      </c>
      <c r="BZ51" s="355"/>
      <c r="CA51" s="355"/>
      <c r="CB51" s="355"/>
      <c r="CC51" s="355"/>
      <c r="CD51" s="355"/>
      <c r="CE51" s="355"/>
      <c r="CF51" s="355"/>
      <c r="CG51" s="355"/>
      <c r="CH51" s="355"/>
      <c r="CI51" s="355"/>
      <c r="CJ51" s="355"/>
      <c r="CK51" s="355"/>
      <c r="CL51" s="355"/>
      <c r="CM51" s="355"/>
      <c r="CN51" s="355"/>
      <c r="CO51" s="355"/>
      <c r="CP51" s="355"/>
      <c r="CQ51" s="355"/>
      <c r="CR51" s="355"/>
    </row>
    <row r="52" spans="1:96" ht="36" customHeight="1" x14ac:dyDescent="0.25">
      <c r="AI52" s="141"/>
      <c r="AJ52" s="186"/>
      <c r="AK52" s="186"/>
      <c r="AL52" s="354"/>
      <c r="AM52" s="354"/>
      <c r="AN52" s="354"/>
      <c r="AO52" s="354"/>
      <c r="AP52" s="354"/>
      <c r="AQ52" s="354"/>
      <c r="AR52" s="355"/>
      <c r="AS52" s="355"/>
      <c r="AT52" s="355"/>
      <c r="AU52" s="355"/>
      <c r="AV52" s="355"/>
      <c r="AW52" s="355"/>
      <c r="AX52" s="355"/>
      <c r="AY52" s="355"/>
      <c r="AZ52" s="355"/>
      <c r="BA52" s="355"/>
      <c r="BB52" s="355"/>
      <c r="BC52" s="355"/>
      <c r="BD52" s="355"/>
      <c r="BE52" s="355"/>
      <c r="BF52" s="355"/>
      <c r="BG52" s="355"/>
      <c r="BH52" s="355"/>
      <c r="BI52" s="355"/>
      <c r="BJ52" s="355"/>
      <c r="BK52" s="355"/>
      <c r="BL52" s="355"/>
      <c r="BM52" s="355"/>
      <c r="BN52" s="355"/>
      <c r="BO52" s="355"/>
      <c r="BP52" s="355"/>
      <c r="BQ52" s="355"/>
      <c r="BR52" s="355"/>
      <c r="BS52" s="355"/>
      <c r="BT52" s="747" t="str">
        <f t="shared" si="28"/>
        <v/>
      </c>
      <c r="BU52" s="355">
        <f t="shared" si="29"/>
        <v>0</v>
      </c>
      <c r="BV52" s="355"/>
      <c r="BW52" s="355"/>
      <c r="BX52" s="747" t="str">
        <f t="shared" si="32"/>
        <v/>
      </c>
      <c r="BY52" s="355">
        <f t="shared" si="33"/>
        <v>0</v>
      </c>
      <c r="BZ52" s="355"/>
      <c r="CA52" s="355"/>
      <c r="CB52" s="355"/>
      <c r="CC52" s="355"/>
      <c r="CD52" s="355"/>
      <c r="CE52" s="355"/>
      <c r="CF52" s="355"/>
      <c r="CG52" s="355"/>
      <c r="CH52" s="355"/>
      <c r="CI52" s="355"/>
      <c r="CJ52" s="355"/>
      <c r="CK52" s="355"/>
      <c r="CL52" s="355"/>
      <c r="CM52" s="355"/>
      <c r="CN52" s="355"/>
      <c r="CO52" s="355"/>
      <c r="CP52" s="355"/>
      <c r="CQ52" s="355"/>
      <c r="CR52" s="355"/>
    </row>
    <row r="53" spans="1:96" ht="36" customHeight="1" thickBot="1" x14ac:dyDescent="0.3">
      <c r="A53" s="800" t="s">
        <v>58</v>
      </c>
      <c r="B53" s="800"/>
      <c r="C53" s="800"/>
      <c r="D53" s="800"/>
      <c r="E53" s="800"/>
      <c r="F53" s="233"/>
      <c r="G53" s="233"/>
      <c r="H53" s="233"/>
      <c r="I53" s="233"/>
      <c r="J53" s="233"/>
      <c r="K53" s="233"/>
      <c r="L53" s="813" t="s">
        <v>466</v>
      </c>
      <c r="M53" s="813"/>
      <c r="N53" s="233"/>
      <c r="O53" s="801" t="s">
        <v>467</v>
      </c>
      <c r="P53" s="801"/>
      <c r="Q53" s="801"/>
      <c r="R53" s="801"/>
      <c r="S53" s="233"/>
      <c r="T53" s="233"/>
      <c r="U53" s="802" t="s">
        <v>468</v>
      </c>
      <c r="V53" s="802"/>
      <c r="W53" s="802"/>
      <c r="X53" s="802"/>
      <c r="Y53" s="233"/>
      <c r="Z53" s="803" t="s">
        <v>604</v>
      </c>
      <c r="AA53" s="803"/>
      <c r="AB53" s="803"/>
      <c r="AC53" s="233"/>
      <c r="AD53" s="233"/>
      <c r="AE53" s="233"/>
      <c r="AF53" s="233"/>
      <c r="AG53" s="233"/>
      <c r="AH53" s="233"/>
      <c r="AI53" s="217"/>
      <c r="AJ53" s="186"/>
      <c r="AK53" s="186"/>
      <c r="AL53" s="354"/>
      <c r="AM53" s="354"/>
      <c r="AN53" s="354"/>
      <c r="AO53" s="354"/>
      <c r="AP53" s="354"/>
      <c r="AQ53" s="354"/>
      <c r="AR53" s="355"/>
      <c r="AS53" s="355"/>
      <c r="AT53" s="355"/>
      <c r="AU53" s="355"/>
      <c r="AV53" s="365"/>
      <c r="AW53" s="365"/>
      <c r="AX53" s="365"/>
      <c r="AY53" s="365"/>
      <c r="AZ53" s="365"/>
      <c r="BA53" s="365"/>
      <c r="BB53" s="365"/>
      <c r="BC53" s="365"/>
      <c r="BD53" s="365"/>
      <c r="BE53" s="365"/>
      <c r="BF53" s="365"/>
      <c r="BG53" s="365"/>
      <c r="BH53" s="365"/>
      <c r="BI53" s="365"/>
      <c r="BJ53" s="365"/>
      <c r="BK53" s="365"/>
      <c r="BL53" s="365"/>
      <c r="BM53" s="365"/>
      <c r="BN53" s="365"/>
      <c r="BO53" s="365"/>
      <c r="BP53" s="365"/>
      <c r="BQ53" s="365"/>
      <c r="BR53" s="365"/>
      <c r="BS53" s="365"/>
      <c r="BT53" s="748" t="str">
        <f t="shared" si="28"/>
        <v/>
      </c>
      <c r="BU53" s="366">
        <f t="shared" si="29"/>
        <v>0</v>
      </c>
      <c r="BV53" s="366"/>
      <c r="BW53" s="366"/>
      <c r="BX53" s="748" t="str">
        <f t="shared" si="32"/>
        <v/>
      </c>
      <c r="BY53" s="366">
        <f t="shared" si="33"/>
        <v>0</v>
      </c>
      <c r="BZ53" s="366"/>
      <c r="CA53" s="366"/>
      <c r="CB53" s="366"/>
      <c r="CC53" s="366"/>
      <c r="CD53" s="366"/>
      <c r="CE53" s="366"/>
      <c r="CF53" s="366"/>
      <c r="CG53" s="355"/>
      <c r="CH53" s="355"/>
      <c r="CI53" s="355"/>
      <c r="CJ53" s="355"/>
      <c r="CK53" s="355"/>
      <c r="CL53" s="355"/>
      <c r="CM53" s="355"/>
      <c r="CN53" s="355"/>
      <c r="CO53" s="355"/>
      <c r="CP53" s="355"/>
      <c r="CQ53" s="355"/>
      <c r="CR53" s="355"/>
    </row>
    <row r="54" spans="1:96" s="218" customFormat="1" ht="66" customHeight="1" thickBot="1" x14ac:dyDescent="0.3">
      <c r="A54" s="294" t="s">
        <v>59</v>
      </c>
      <c r="B54" s="295"/>
      <c r="C54" s="296" t="s">
        <v>60</v>
      </c>
      <c r="D54" s="296" t="s">
        <v>61</v>
      </c>
      <c r="E54" s="297" t="s">
        <v>62</v>
      </c>
      <c r="F54" s="804" t="s">
        <v>605</v>
      </c>
      <c r="G54" s="805"/>
      <c r="H54" s="806"/>
      <c r="I54" s="216"/>
      <c r="J54" s="216"/>
      <c r="K54" s="216"/>
      <c r="L54" s="299" t="s">
        <v>471</v>
      </c>
      <c r="M54" s="300" t="s">
        <v>472</v>
      </c>
      <c r="N54" s="216"/>
      <c r="O54" s="709" t="s">
        <v>473</v>
      </c>
      <c r="P54" s="710" t="s">
        <v>474</v>
      </c>
      <c r="Q54" s="710" t="s">
        <v>475</v>
      </c>
      <c r="R54" s="300" t="s">
        <v>476</v>
      </c>
      <c r="S54" s="711" t="s">
        <v>185</v>
      </c>
      <c r="T54" s="719" t="s">
        <v>477</v>
      </c>
      <c r="U54" s="715" t="s">
        <v>606</v>
      </c>
      <c r="V54" s="712" t="s">
        <v>607</v>
      </c>
      <c r="W54" s="300" t="s">
        <v>480</v>
      </c>
      <c r="X54" s="216"/>
      <c r="Y54" s="216"/>
      <c r="Z54" s="310" t="s">
        <v>481</v>
      </c>
      <c r="AA54" s="296" t="s">
        <v>482</v>
      </c>
      <c r="AB54" s="297" t="s">
        <v>483</v>
      </c>
      <c r="AC54" s="285"/>
      <c r="AD54" s="216"/>
      <c r="AE54" s="216"/>
      <c r="AF54" s="216"/>
      <c r="AG54" s="216"/>
      <c r="AH54" s="216"/>
      <c r="AI54" s="81"/>
      <c r="AJ54" s="186"/>
      <c r="AK54" s="186"/>
      <c r="AL54" s="354"/>
      <c r="AM54" s="354"/>
      <c r="AN54" s="354"/>
      <c r="AO54" s="354"/>
      <c r="AP54" s="354"/>
      <c r="AQ54" s="354"/>
      <c r="AR54" s="355"/>
      <c r="AS54" s="355"/>
      <c r="AT54" s="355"/>
      <c r="AU54" s="355"/>
      <c r="AV54" s="368"/>
      <c r="AW54" s="368"/>
      <c r="AX54" s="368"/>
      <c r="AY54" s="368"/>
      <c r="AZ54" s="368"/>
      <c r="BA54" s="368"/>
      <c r="BB54" s="368"/>
      <c r="BC54" s="368"/>
      <c r="BD54" s="368"/>
      <c r="BE54" s="368"/>
      <c r="BF54" s="368"/>
      <c r="BG54" s="368"/>
      <c r="BH54" s="368"/>
      <c r="BI54" s="368"/>
      <c r="BJ54" s="368"/>
      <c r="BK54" s="368"/>
      <c r="BL54" s="368"/>
      <c r="BM54" s="368"/>
      <c r="BN54" s="368"/>
      <c r="BO54" s="368"/>
      <c r="BP54" s="368"/>
      <c r="BQ54" s="368"/>
      <c r="BR54" s="368"/>
      <c r="BS54" s="368"/>
      <c r="BT54" s="749" t="str">
        <f t="shared" si="28"/>
        <v/>
      </c>
      <c r="BU54" s="368">
        <f t="shared" si="29"/>
        <v>0</v>
      </c>
      <c r="BV54" s="368"/>
      <c r="BW54" s="368"/>
      <c r="BX54" s="749" t="str">
        <f t="shared" si="32"/>
        <v/>
      </c>
      <c r="BY54" s="368">
        <f t="shared" si="33"/>
        <v>0</v>
      </c>
      <c r="BZ54" s="368"/>
      <c r="CA54" s="368"/>
      <c r="CB54" s="368"/>
      <c r="CC54" s="368"/>
      <c r="CD54" s="368"/>
      <c r="CE54" s="368"/>
      <c r="CF54" s="368"/>
      <c r="CG54" s="367"/>
      <c r="CH54" s="367"/>
      <c r="CI54" s="367"/>
      <c r="CJ54" s="367"/>
      <c r="CK54" s="367"/>
      <c r="CL54" s="367"/>
      <c r="CM54" s="367"/>
      <c r="CN54" s="367"/>
      <c r="CO54" s="367"/>
      <c r="CP54" s="367"/>
      <c r="CQ54" s="367"/>
      <c r="CR54" s="367"/>
    </row>
    <row r="55" spans="1:96" ht="36" customHeight="1" thickBot="1" x14ac:dyDescent="0.3">
      <c r="A55" s="255" t="s">
        <v>484</v>
      </c>
      <c r="B55" s="274"/>
      <c r="C55" s="287">
        <v>0</v>
      </c>
      <c r="D55" s="287">
        <v>0</v>
      </c>
      <c r="E55" s="288">
        <v>0</v>
      </c>
      <c r="F55" s="807"/>
      <c r="G55" s="808"/>
      <c r="H55" s="809"/>
      <c r="L55" s="301" t="s">
        <v>485</v>
      </c>
      <c r="M55" s="303" t="s">
        <v>486</v>
      </c>
      <c r="O55" s="180">
        <v>46109.916666608799</v>
      </c>
      <c r="P55" s="171">
        <v>0.02</v>
      </c>
      <c r="Q55" s="171">
        <v>767.93</v>
      </c>
      <c r="R55" s="170">
        <v>862.3</v>
      </c>
      <c r="S55" s="702">
        <v>795.59427594747206</v>
      </c>
      <c r="T55" s="720"/>
      <c r="U55" s="314">
        <v>0.84030000000000005</v>
      </c>
      <c r="V55" s="292">
        <v>72.69</v>
      </c>
      <c r="W55" s="325"/>
      <c r="Z55" s="395" t="s">
        <v>487</v>
      </c>
      <c r="AA55" s="397">
        <v>4786.5140000000001</v>
      </c>
      <c r="AB55" s="398">
        <v>4790.8620000000001</v>
      </c>
      <c r="AC55" s="881" t="s">
        <v>488</v>
      </c>
      <c r="AJ55" s="186"/>
      <c r="AK55" s="186"/>
      <c r="AL55" s="354"/>
      <c r="AM55" s="354"/>
      <c r="AN55" s="354"/>
      <c r="AO55" s="354"/>
      <c r="AP55" s="354"/>
      <c r="AQ55" s="354"/>
      <c r="AR55" s="355"/>
      <c r="AS55" s="355"/>
      <c r="AT55" s="355"/>
      <c r="AU55" s="355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55"/>
      <c r="BI55" s="355"/>
      <c r="BJ55" s="355"/>
      <c r="BK55" s="362"/>
      <c r="BL55" s="362"/>
      <c r="BM55" s="362"/>
      <c r="BN55" s="362"/>
      <c r="BO55" s="362"/>
      <c r="BP55" s="362"/>
      <c r="BQ55" s="362"/>
      <c r="BR55" s="362"/>
      <c r="BS55" s="362"/>
      <c r="BT55" s="750" t="str">
        <f t="shared" si="28"/>
        <v/>
      </c>
      <c r="BU55" s="362">
        <f t="shared" si="29"/>
        <v>0</v>
      </c>
      <c r="BV55" s="362"/>
      <c r="BW55" s="362"/>
      <c r="BX55" s="750" t="str">
        <f t="shared" si="32"/>
        <v/>
      </c>
      <c r="BY55" s="362">
        <f t="shared" si="33"/>
        <v>0</v>
      </c>
      <c r="BZ55" s="362"/>
      <c r="CA55" s="362"/>
      <c r="CB55" s="362"/>
      <c r="CC55" s="362"/>
      <c r="CD55" s="362"/>
      <c r="CE55" s="362"/>
      <c r="CF55" s="362"/>
      <c r="CG55" s="355"/>
      <c r="CH55" s="355"/>
      <c r="CI55" s="355"/>
      <c r="CJ55" s="355"/>
      <c r="CK55" s="355"/>
      <c r="CL55" s="355"/>
      <c r="CM55" s="355"/>
      <c r="CN55" s="355"/>
      <c r="CO55" s="355"/>
      <c r="CP55" s="355"/>
      <c r="CQ55" s="355"/>
      <c r="CR55" s="355"/>
    </row>
    <row r="56" spans="1:96" ht="50.25" customHeight="1" x14ac:dyDescent="0.25">
      <c r="A56" s="264" t="s">
        <v>489</v>
      </c>
      <c r="B56" s="158"/>
      <c r="C56" s="261">
        <f>F35</f>
        <v>5.0245839654202824E-2</v>
      </c>
      <c r="D56" s="261">
        <f>F36</f>
        <v>1.848592889343009</v>
      </c>
      <c r="E56" s="320">
        <f>F34</f>
        <v>0.12537787255979191</v>
      </c>
      <c r="F56" s="807"/>
      <c r="G56" s="808"/>
      <c r="H56" s="809"/>
      <c r="L56" s="301" t="s">
        <v>490</v>
      </c>
      <c r="M56" s="303" t="s">
        <v>491</v>
      </c>
      <c r="N56" s="112"/>
      <c r="O56" s="180">
        <v>46109.958333333336</v>
      </c>
      <c r="P56" s="166">
        <v>0.02</v>
      </c>
      <c r="Q56" s="166">
        <v>767.93</v>
      </c>
      <c r="R56" s="170">
        <v>862.3</v>
      </c>
      <c r="S56" s="702">
        <v>795.59427594747171</v>
      </c>
      <c r="T56" s="720"/>
      <c r="U56" s="716" t="s">
        <v>608</v>
      </c>
      <c r="V56" s="714" t="s">
        <v>609</v>
      </c>
      <c r="W56" s="713"/>
      <c r="X56" s="80"/>
      <c r="Y56" s="80"/>
      <c r="Z56" s="395" t="s">
        <v>492</v>
      </c>
      <c r="AA56" s="399">
        <v>4822.5079999999998</v>
      </c>
      <c r="AB56" s="313">
        <v>4826.8560000000007</v>
      </c>
      <c r="AC56" s="881"/>
      <c r="AD56" s="80"/>
      <c r="AE56" s="80"/>
      <c r="AF56" s="80"/>
      <c r="AG56" s="80"/>
      <c r="AH56" s="80"/>
      <c r="AI56" s="80"/>
      <c r="AJ56" s="186"/>
      <c r="AK56" s="186"/>
      <c r="AL56" s="354"/>
      <c r="AM56" s="354"/>
      <c r="AN56" s="354"/>
      <c r="AO56" s="354"/>
      <c r="AP56" s="354"/>
      <c r="AQ56" s="354"/>
      <c r="AR56" s="355"/>
      <c r="AS56" s="355"/>
      <c r="AT56" s="355"/>
      <c r="AU56" s="355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9"/>
      <c r="BI56" s="369"/>
      <c r="BJ56" s="369"/>
      <c r="BK56" s="369"/>
      <c r="BL56" s="369"/>
      <c r="BM56" s="369"/>
      <c r="BN56" s="369"/>
      <c r="BO56" s="369"/>
      <c r="BP56" s="369"/>
      <c r="BQ56" s="369"/>
      <c r="BR56" s="369"/>
      <c r="BS56" s="369"/>
      <c r="BT56" s="751" t="str">
        <f t="shared" si="28"/>
        <v/>
      </c>
      <c r="BU56" s="370">
        <f t="shared" si="29"/>
        <v>0</v>
      </c>
      <c r="BV56" s="370"/>
      <c r="BW56" s="370"/>
      <c r="BX56" s="751" t="str">
        <f t="shared" si="32"/>
        <v/>
      </c>
      <c r="BY56" s="370">
        <f t="shared" si="33"/>
        <v>0</v>
      </c>
      <c r="BZ56" s="370"/>
      <c r="CA56" s="371"/>
      <c r="CB56" s="355"/>
      <c r="CC56" s="355"/>
      <c r="CD56" s="362"/>
      <c r="CE56" s="362"/>
      <c r="CF56" s="362"/>
      <c r="CG56" s="355"/>
      <c r="CH56" s="355"/>
      <c r="CI56" s="355"/>
      <c r="CJ56" s="355"/>
      <c r="CK56" s="355"/>
      <c r="CL56" s="355"/>
      <c r="CM56" s="355"/>
      <c r="CN56" s="355"/>
      <c r="CO56" s="355"/>
      <c r="CP56" s="355"/>
      <c r="CQ56" s="355"/>
      <c r="CR56" s="355"/>
    </row>
    <row r="57" spans="1:96" ht="36" customHeight="1" thickBot="1" x14ac:dyDescent="0.3">
      <c r="A57" s="264" t="s">
        <v>493</v>
      </c>
      <c r="B57" s="223"/>
      <c r="C57" s="261">
        <f>E35</f>
        <v>4.9973759167677177E-2</v>
      </c>
      <c r="D57" s="261">
        <f>E36</f>
        <v>1.84357001621376</v>
      </c>
      <c r="E57" s="320">
        <f>E34</f>
        <v>0.12476356385650857</v>
      </c>
      <c r="F57" s="807"/>
      <c r="G57" s="808"/>
      <c r="H57" s="809"/>
      <c r="L57" s="304" t="s">
        <v>494</v>
      </c>
      <c r="M57" s="293" t="s">
        <v>495</v>
      </c>
      <c r="N57" s="112"/>
      <c r="O57" s="180">
        <v>46110.000000057873</v>
      </c>
      <c r="P57" s="166">
        <v>0.02</v>
      </c>
      <c r="Q57" s="166">
        <v>767.93</v>
      </c>
      <c r="R57" s="170">
        <v>862.3</v>
      </c>
      <c r="S57" s="702">
        <v>795.59427594747206</v>
      </c>
      <c r="T57" s="720"/>
      <c r="U57" s="722">
        <v>0.87204548714673003</v>
      </c>
      <c r="V57" s="723">
        <v>62.109283174073262</v>
      </c>
      <c r="W57" s="713"/>
      <c r="X57" s="80"/>
      <c r="Y57" s="80"/>
      <c r="Z57" s="396" t="s">
        <v>496</v>
      </c>
      <c r="AA57" s="400">
        <v>5438.7719999999999</v>
      </c>
      <c r="AB57" s="293">
        <v>5443.6880000000001</v>
      </c>
      <c r="AC57" s="881"/>
      <c r="AD57" s="80"/>
      <c r="AE57" s="80"/>
      <c r="AF57" s="80"/>
      <c r="AG57" s="80"/>
      <c r="AH57" s="80"/>
      <c r="AI57" s="80"/>
      <c r="AJ57" s="186"/>
      <c r="AK57" s="186"/>
      <c r="AL57" s="354"/>
      <c r="AM57" s="354"/>
      <c r="AN57" s="354"/>
      <c r="AO57" s="354"/>
      <c r="AP57" s="354"/>
      <c r="AQ57" s="354"/>
      <c r="AR57" s="355"/>
      <c r="AS57" s="355"/>
      <c r="AT57" s="355"/>
      <c r="AU57" s="355"/>
      <c r="AV57" s="362"/>
      <c r="AW57" s="362"/>
      <c r="AX57" s="362"/>
      <c r="AY57" s="362"/>
      <c r="AZ57" s="362"/>
      <c r="BA57" s="362"/>
      <c r="BB57" s="362"/>
      <c r="BC57" s="362"/>
      <c r="BD57" s="362"/>
      <c r="BE57" s="362"/>
      <c r="BF57" s="362"/>
      <c r="BG57" s="362"/>
      <c r="BH57" s="372"/>
      <c r="BI57" s="372"/>
      <c r="BJ57" s="372"/>
      <c r="BK57" s="372"/>
      <c r="BL57" s="372"/>
      <c r="BM57" s="372"/>
      <c r="BN57" s="372"/>
      <c r="BO57" s="372"/>
      <c r="BP57" s="372"/>
      <c r="BQ57" s="372"/>
      <c r="BR57" s="372"/>
      <c r="BS57" s="372"/>
      <c r="BT57" s="751" t="str">
        <f t="shared" si="28"/>
        <v/>
      </c>
      <c r="BU57" s="370">
        <f t="shared" si="29"/>
        <v>0</v>
      </c>
      <c r="BV57" s="370"/>
      <c r="BW57" s="370"/>
      <c r="BX57" s="751" t="str">
        <f t="shared" si="32"/>
        <v/>
      </c>
      <c r="BY57" s="370">
        <f t="shared" si="33"/>
        <v>0</v>
      </c>
      <c r="BZ57" s="370"/>
      <c r="CA57" s="371"/>
      <c r="CB57" s="355"/>
      <c r="CC57" s="355"/>
      <c r="CD57" s="362"/>
      <c r="CE57" s="362"/>
      <c r="CF57" s="362"/>
      <c r="CG57" s="355"/>
      <c r="CH57" s="355"/>
      <c r="CI57" s="355"/>
      <c r="CJ57" s="355"/>
      <c r="CK57" s="355"/>
      <c r="CL57" s="355"/>
      <c r="CM57" s="355"/>
      <c r="CN57" s="355"/>
      <c r="CO57" s="355"/>
      <c r="CP57" s="355"/>
      <c r="CQ57" s="355"/>
      <c r="CR57" s="355"/>
    </row>
    <row r="58" spans="1:96" ht="36" customHeight="1" thickBot="1" x14ac:dyDescent="0.3">
      <c r="A58" s="265" t="s">
        <v>497</v>
      </c>
      <c r="B58" s="275"/>
      <c r="C58" s="292" t="s">
        <v>12</v>
      </c>
      <c r="D58" s="292" t="s">
        <v>12</v>
      </c>
      <c r="E58" s="293" t="s">
        <v>12</v>
      </c>
      <c r="F58" s="810"/>
      <c r="G58" s="811"/>
      <c r="H58" s="812"/>
      <c r="K58" s="113"/>
      <c r="L58" s="113"/>
      <c r="M58" s="150"/>
      <c r="N58" s="113"/>
      <c r="O58" s="180">
        <v>46110.041666435187</v>
      </c>
      <c r="P58" s="166">
        <v>0.02</v>
      </c>
      <c r="Q58" s="166">
        <v>767.93</v>
      </c>
      <c r="R58" s="170">
        <v>862.3</v>
      </c>
      <c r="S58" s="702">
        <v>795.59427594747206</v>
      </c>
      <c r="T58" s="720"/>
      <c r="U58" s="717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186"/>
      <c r="AK58" s="186"/>
      <c r="AL58" s="354"/>
      <c r="AM58" s="354"/>
      <c r="AN58" s="354"/>
      <c r="AO58" s="354"/>
      <c r="AP58" s="354"/>
      <c r="AQ58" s="354"/>
      <c r="AR58" s="355"/>
      <c r="AS58" s="355"/>
      <c r="AT58" s="355"/>
      <c r="AU58" s="355"/>
      <c r="AV58" s="362"/>
      <c r="AW58" s="362"/>
      <c r="AX58" s="362"/>
      <c r="AY58" s="362"/>
      <c r="AZ58" s="362"/>
      <c r="BA58" s="362"/>
      <c r="BB58" s="362"/>
      <c r="BC58" s="362"/>
      <c r="BD58" s="362"/>
      <c r="BE58" s="362"/>
      <c r="BF58" s="362"/>
      <c r="BG58" s="362"/>
      <c r="BH58" s="373"/>
      <c r="BI58" s="373"/>
      <c r="BJ58" s="373"/>
      <c r="BK58" s="372"/>
      <c r="BL58" s="372"/>
      <c r="BM58" s="372"/>
      <c r="BN58" s="372"/>
      <c r="BO58" s="372"/>
      <c r="BP58" s="372"/>
      <c r="BQ58" s="372"/>
      <c r="BR58" s="372"/>
      <c r="BS58" s="372"/>
      <c r="BT58" s="752" t="str">
        <f t="shared" si="28"/>
        <v/>
      </c>
      <c r="BU58" s="363">
        <f t="shared" si="29"/>
        <v>0</v>
      </c>
      <c r="BV58" s="363"/>
      <c r="BW58" s="363"/>
      <c r="BX58" s="752" t="str">
        <f t="shared" si="32"/>
        <v/>
      </c>
      <c r="BY58" s="363">
        <f t="shared" si="33"/>
        <v>0</v>
      </c>
      <c r="BZ58" s="363"/>
      <c r="CA58" s="374"/>
      <c r="CB58" s="355"/>
      <c r="CC58" s="355"/>
      <c r="CD58" s="362"/>
      <c r="CE58" s="362"/>
      <c r="CF58" s="362"/>
      <c r="CG58" s="355"/>
      <c r="CH58" s="355"/>
      <c r="CI58" s="355"/>
      <c r="CJ58" s="355"/>
      <c r="CK58" s="355"/>
      <c r="CL58" s="355"/>
      <c r="CM58" s="355"/>
      <c r="CN58" s="355"/>
      <c r="CO58" s="355"/>
      <c r="CP58" s="355"/>
      <c r="CQ58" s="355"/>
      <c r="CR58" s="355"/>
    </row>
    <row r="59" spans="1:96" ht="35.25" customHeight="1" x14ac:dyDescent="0.25">
      <c r="A59" s="290" t="s">
        <v>498</v>
      </c>
      <c r="B59" s="291"/>
      <c r="C59" s="289">
        <f>AA35</f>
        <v>78.278999999999996</v>
      </c>
      <c r="D59" s="289">
        <f>AA36</f>
        <v>326.37200000000001</v>
      </c>
      <c r="E59" s="298">
        <f>AVERAGE(AA10:AA33)</f>
        <v>110.12041666666666</v>
      </c>
      <c r="F59" s="302">
        <f>SUM(AA10:AA33)</f>
        <v>2642.89</v>
      </c>
      <c r="G59" s="260"/>
      <c r="H59" s="260"/>
      <c r="K59" s="113"/>
      <c r="L59" s="113"/>
      <c r="M59" s="150"/>
      <c r="N59" s="113"/>
      <c r="O59" s="180">
        <v>46110.083332812501</v>
      </c>
      <c r="P59" s="166">
        <v>0.02</v>
      </c>
      <c r="Q59" s="166">
        <v>767.93</v>
      </c>
      <c r="R59" s="170">
        <v>861.8</v>
      </c>
      <c r="S59" s="702">
        <v>795.59427594747206</v>
      </c>
      <c r="T59" s="720"/>
      <c r="U59" s="9" t="s">
        <v>610</v>
      </c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112"/>
      <c r="AJ59" s="112"/>
      <c r="AK59" s="31"/>
      <c r="AL59" s="371"/>
      <c r="AM59" s="371"/>
      <c r="AN59" s="355"/>
      <c r="AO59" s="355"/>
      <c r="AP59" s="355"/>
      <c r="AQ59" s="355"/>
      <c r="AR59" s="355"/>
      <c r="AS59" s="355"/>
      <c r="AT59" s="355"/>
      <c r="AU59" s="355"/>
      <c r="AV59" s="355"/>
      <c r="AW59" s="355"/>
      <c r="AX59" s="355"/>
      <c r="AY59" s="355"/>
      <c r="AZ59" s="355"/>
      <c r="BA59" s="355"/>
      <c r="BB59" s="355"/>
      <c r="BC59" s="355"/>
      <c r="BD59" s="355"/>
      <c r="BE59" s="355"/>
      <c r="BF59" s="355"/>
      <c r="BG59" s="355"/>
      <c r="BH59" s="355"/>
      <c r="BI59" s="355"/>
      <c r="BJ59" s="355"/>
      <c r="BK59" s="370"/>
      <c r="BL59" s="370"/>
      <c r="BM59" s="370"/>
      <c r="BN59" s="370"/>
      <c r="BO59" s="370"/>
      <c r="BP59" s="370"/>
      <c r="BQ59" s="370"/>
      <c r="BR59" s="370"/>
      <c r="BS59" s="370"/>
      <c r="BT59" s="752" t="str">
        <f t="shared" si="28"/>
        <v/>
      </c>
      <c r="BU59" s="363">
        <f t="shared" si="29"/>
        <v>0</v>
      </c>
      <c r="BV59" s="363"/>
      <c r="BW59" s="363"/>
      <c r="BX59" s="752" t="str">
        <f t="shared" si="32"/>
        <v/>
      </c>
      <c r="BY59" s="363">
        <f t="shared" si="33"/>
        <v>0</v>
      </c>
      <c r="BZ59" s="363"/>
      <c r="CA59" s="374"/>
      <c r="CB59" s="355"/>
      <c r="CC59" s="355"/>
      <c r="CD59" s="355"/>
      <c r="CE59" s="355"/>
      <c r="CF59" s="355"/>
      <c r="CG59" s="355"/>
      <c r="CH59" s="355"/>
      <c r="CI59" s="355"/>
      <c r="CJ59" s="355"/>
      <c r="CK59" s="355"/>
      <c r="CL59" s="355"/>
      <c r="CM59" s="355"/>
      <c r="CN59" s="355"/>
      <c r="CO59" s="355"/>
      <c r="CP59" s="355"/>
      <c r="CQ59" s="355"/>
      <c r="CR59" s="355"/>
    </row>
    <row r="60" spans="1:96" ht="35.25" customHeight="1" x14ac:dyDescent="0.3">
      <c r="A60" s="264" t="s">
        <v>499</v>
      </c>
      <c r="B60" s="224"/>
      <c r="C60" s="262">
        <f>AB35</f>
        <v>26.225000000000001</v>
      </c>
      <c r="D60" s="262">
        <f>AB36</f>
        <v>109.339</v>
      </c>
      <c r="E60" s="270">
        <f>AVERAGE(AB10:AB33)</f>
        <v>36.891833333333331</v>
      </c>
      <c r="F60" s="269">
        <f>SUM(AB10:AB33)</f>
        <v>885.404</v>
      </c>
      <c r="M60" s="404"/>
      <c r="N60" s="116"/>
      <c r="O60" s="180">
        <v>46110.124999189815</v>
      </c>
      <c r="P60" s="166">
        <v>0.02</v>
      </c>
      <c r="Q60" s="166">
        <v>767.93</v>
      </c>
      <c r="R60" s="170">
        <v>861.8</v>
      </c>
      <c r="S60" s="702">
        <v>795.59427594747206</v>
      </c>
      <c r="T60" s="720"/>
      <c r="U60" s="9" t="s">
        <v>611</v>
      </c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112"/>
      <c r="AI60" s="112"/>
      <c r="AJ60" s="112"/>
      <c r="AK60" s="31"/>
      <c r="AL60" s="371"/>
      <c r="AM60" s="371"/>
      <c r="AN60" s="355"/>
      <c r="AO60" s="355"/>
      <c r="AP60" s="355"/>
      <c r="AQ60" s="355"/>
      <c r="AR60" s="355"/>
      <c r="AS60" s="355"/>
      <c r="AT60" s="355"/>
      <c r="AU60" s="355"/>
      <c r="AV60" s="355"/>
      <c r="AW60" s="355"/>
      <c r="AX60" s="355"/>
      <c r="AY60" s="355"/>
      <c r="AZ60" s="355"/>
      <c r="BA60" s="355"/>
      <c r="BB60" s="355"/>
      <c r="BC60" s="355"/>
      <c r="BD60" s="355"/>
      <c r="BE60" s="355"/>
      <c r="BF60" s="355"/>
      <c r="BG60" s="355"/>
      <c r="BH60" s="375"/>
      <c r="BI60" s="375"/>
      <c r="BJ60" s="375"/>
      <c r="BK60" s="370"/>
      <c r="BL60" s="370"/>
      <c r="BM60" s="370"/>
      <c r="BN60" s="370"/>
      <c r="BO60" s="370"/>
      <c r="BP60" s="370"/>
      <c r="BQ60" s="370"/>
      <c r="BR60" s="370"/>
      <c r="BS60" s="370"/>
      <c r="BT60" s="752" t="str">
        <f t="shared" si="28"/>
        <v/>
      </c>
      <c r="BU60" s="363">
        <f t="shared" si="29"/>
        <v>0</v>
      </c>
      <c r="BV60" s="363"/>
      <c r="BW60" s="363"/>
      <c r="BX60" s="752" t="str">
        <f t="shared" si="32"/>
        <v/>
      </c>
      <c r="BY60" s="363">
        <f t="shared" si="33"/>
        <v>0</v>
      </c>
      <c r="BZ60" s="363"/>
      <c r="CA60" s="374"/>
      <c r="CB60" s="355"/>
      <c r="CC60" s="355"/>
      <c r="CD60" s="355"/>
      <c r="CE60" s="355"/>
      <c r="CF60" s="355"/>
      <c r="CG60" s="355"/>
      <c r="CH60" s="355"/>
      <c r="CI60" s="355"/>
      <c r="CJ60" s="355"/>
      <c r="CK60" s="355"/>
      <c r="CL60" s="355"/>
      <c r="CM60" s="355"/>
      <c r="CN60" s="355"/>
      <c r="CO60" s="355"/>
      <c r="CP60" s="355"/>
      <c r="CQ60" s="355"/>
      <c r="CR60" s="355"/>
    </row>
    <row r="61" spans="1:96" ht="35.25" customHeight="1" x14ac:dyDescent="0.25">
      <c r="A61" s="264" t="s">
        <v>501</v>
      </c>
      <c r="B61" s="224"/>
      <c r="C61" s="262">
        <f>AC35</f>
        <v>9.4E-2</v>
      </c>
      <c r="D61" s="262">
        <f>AC36</f>
        <v>1.421</v>
      </c>
      <c r="E61" s="270">
        <f>AVERAGE(AC10:AC33)</f>
        <v>0.17654166666666671</v>
      </c>
      <c r="F61" s="269">
        <f>SUM(AC10:AC33)</f>
        <v>4.237000000000001</v>
      </c>
      <c r="M61"/>
      <c r="N61" s="28"/>
      <c r="O61" s="180">
        <v>46110.166665567129</v>
      </c>
      <c r="P61" s="166">
        <v>0.02</v>
      </c>
      <c r="Q61" s="166">
        <v>767.93</v>
      </c>
      <c r="R61" s="170">
        <v>861.8</v>
      </c>
      <c r="S61" s="702">
        <v>795.59427594747206</v>
      </c>
      <c r="T61" s="720"/>
      <c r="U61" s="9" t="s">
        <v>612</v>
      </c>
      <c r="AC61" s="112"/>
      <c r="AD61" s="112"/>
      <c r="AE61" s="112"/>
      <c r="AF61" s="112"/>
      <c r="AG61" s="112"/>
      <c r="AH61" s="112"/>
      <c r="AI61" s="112"/>
      <c r="AJ61" s="112"/>
      <c r="AK61" s="31"/>
      <c r="AL61" s="371"/>
      <c r="AM61" s="371"/>
      <c r="AN61" s="355"/>
      <c r="AO61" s="355"/>
      <c r="AP61" s="355"/>
      <c r="AQ61" s="355"/>
      <c r="AR61" s="355"/>
      <c r="AS61" s="355"/>
      <c r="AT61" s="355"/>
      <c r="AU61" s="355"/>
      <c r="AV61" s="355"/>
      <c r="AW61" s="355"/>
      <c r="AX61" s="355"/>
      <c r="AY61" s="355"/>
      <c r="AZ61" s="355"/>
      <c r="BA61" s="355"/>
      <c r="BB61" s="355"/>
      <c r="BC61" s="355"/>
      <c r="BD61" s="355"/>
      <c r="BE61" s="355"/>
      <c r="BF61" s="355"/>
      <c r="BG61" s="355"/>
      <c r="BH61" s="355"/>
      <c r="BI61" s="355"/>
      <c r="BJ61" s="355"/>
      <c r="BK61" s="370"/>
      <c r="BL61" s="370"/>
      <c r="BM61" s="370"/>
      <c r="BN61" s="370"/>
      <c r="BO61" s="370"/>
      <c r="BP61" s="370"/>
      <c r="BQ61" s="370"/>
      <c r="BR61" s="370"/>
      <c r="BS61" s="370"/>
      <c r="BT61" s="752" t="str">
        <f t="shared" si="28"/>
        <v/>
      </c>
      <c r="BU61" s="363">
        <f t="shared" si="29"/>
        <v>0</v>
      </c>
      <c r="BV61" s="363"/>
      <c r="BW61" s="363"/>
      <c r="BX61" s="752" t="str">
        <f t="shared" si="32"/>
        <v/>
      </c>
      <c r="BY61" s="363">
        <f t="shared" si="33"/>
        <v>0</v>
      </c>
      <c r="BZ61" s="363"/>
      <c r="CA61" s="374"/>
      <c r="CB61" s="355"/>
      <c r="CC61" s="355"/>
      <c r="CD61" s="355"/>
      <c r="CE61" s="355"/>
      <c r="CF61" s="355"/>
      <c r="CG61" s="355"/>
      <c r="CH61" s="355"/>
      <c r="CI61" s="355"/>
      <c r="CJ61" s="355"/>
      <c r="CK61" s="355"/>
      <c r="CL61" s="355"/>
      <c r="CM61" s="355"/>
      <c r="CN61" s="355"/>
      <c r="CO61" s="355"/>
      <c r="CP61" s="355"/>
      <c r="CQ61" s="355"/>
      <c r="CR61" s="355"/>
    </row>
    <row r="62" spans="1:96" ht="35.25" customHeight="1" x14ac:dyDescent="0.25">
      <c r="A62" s="264" t="s">
        <v>506</v>
      </c>
      <c r="B62" s="225"/>
      <c r="C62" s="262">
        <f>AF35</f>
        <v>91.03</v>
      </c>
      <c r="D62" s="262">
        <f>AF36</f>
        <v>379.53399999999999</v>
      </c>
      <c r="E62" s="270">
        <f>AVERAGE(AF10:AF33)</f>
        <v>128.05737500000001</v>
      </c>
      <c r="F62" s="269">
        <f>SUM(AF10:AF33)</f>
        <v>3073.3770000000004</v>
      </c>
      <c r="M62" s="404"/>
      <c r="N62" s="28"/>
      <c r="O62" s="180">
        <v>46110.208331944443</v>
      </c>
      <c r="P62" s="166">
        <v>0.02</v>
      </c>
      <c r="Q62" s="166">
        <v>767.93</v>
      </c>
      <c r="R62" s="170">
        <v>861.8</v>
      </c>
      <c r="S62" s="702">
        <v>795.59427594747206</v>
      </c>
      <c r="T62" s="720"/>
      <c r="U62" s="34"/>
      <c r="AC62" s="72"/>
      <c r="AD62" s="72"/>
      <c r="AE62" s="72"/>
      <c r="AF62" s="72"/>
      <c r="AG62" s="72"/>
      <c r="AH62" s="72"/>
      <c r="AI62" s="72"/>
      <c r="AJ62" s="72"/>
      <c r="AK62" s="30"/>
      <c r="AL62" s="374"/>
      <c r="AM62" s="374"/>
      <c r="AN62" s="355"/>
      <c r="AO62" s="372"/>
      <c r="AP62" s="355"/>
      <c r="AQ62" s="355"/>
      <c r="AR62" s="355"/>
      <c r="AS62" s="355"/>
      <c r="AT62" s="355"/>
      <c r="AU62" s="355"/>
      <c r="AV62" s="355"/>
      <c r="AW62" s="355"/>
      <c r="AX62" s="355"/>
      <c r="AY62" s="355"/>
      <c r="AZ62" s="355"/>
      <c r="BA62" s="355"/>
      <c r="BB62" s="355"/>
      <c r="BC62" s="355"/>
      <c r="BD62" s="355"/>
      <c r="BE62" s="355"/>
      <c r="BF62" s="355"/>
      <c r="BG62" s="355"/>
      <c r="BH62" s="355"/>
      <c r="BI62" s="355"/>
      <c r="BJ62" s="355"/>
      <c r="BK62" s="370"/>
      <c r="BL62" s="370"/>
      <c r="BM62" s="370"/>
      <c r="BN62" s="370"/>
      <c r="BO62" s="370"/>
      <c r="BP62" s="370"/>
      <c r="BQ62" s="370"/>
      <c r="BR62" s="370"/>
      <c r="BS62" s="370"/>
      <c r="BT62" s="752" t="str">
        <f t="shared" si="28"/>
        <v/>
      </c>
      <c r="BU62" s="363">
        <f t="shared" si="29"/>
        <v>0</v>
      </c>
      <c r="BV62" s="363"/>
      <c r="BW62" s="363"/>
      <c r="BX62" s="752" t="str">
        <f t="shared" si="32"/>
        <v/>
      </c>
      <c r="BY62" s="363">
        <f t="shared" si="33"/>
        <v>0</v>
      </c>
      <c r="BZ62" s="363"/>
      <c r="CA62" s="374"/>
      <c r="CB62" s="355"/>
      <c r="CC62" s="355"/>
      <c r="CD62" s="355"/>
      <c r="CE62" s="355"/>
      <c r="CF62" s="355"/>
      <c r="CG62" s="355"/>
      <c r="CH62" s="355"/>
      <c r="CI62" s="355"/>
      <c r="CJ62" s="355"/>
      <c r="CK62" s="355"/>
      <c r="CL62" s="355"/>
      <c r="CM62" s="355"/>
      <c r="CN62" s="355"/>
      <c r="CO62" s="355"/>
      <c r="CP62" s="355"/>
      <c r="CQ62" s="355"/>
      <c r="CR62" s="355"/>
    </row>
    <row r="63" spans="1:96" ht="35.25" customHeight="1" x14ac:dyDescent="0.25">
      <c r="A63" s="264" t="s">
        <v>508</v>
      </c>
      <c r="B63" s="225"/>
      <c r="C63" s="262">
        <f>AG35</f>
        <v>30.11</v>
      </c>
      <c r="D63" s="262">
        <f>AG36</f>
        <v>125.54</v>
      </c>
      <c r="E63" s="270">
        <f>AVERAGE(AH10:AH33)</f>
        <v>0.14183333333333328</v>
      </c>
      <c r="F63" s="269">
        <f>SUM(AG10:AG33)</f>
        <v>1016.5969999999999</v>
      </c>
      <c r="L63" s="28"/>
      <c r="M63" s="28"/>
      <c r="N63" s="28"/>
      <c r="O63" s="180">
        <v>46110.249998321757</v>
      </c>
      <c r="P63" s="166">
        <v>0.02</v>
      </c>
      <c r="Q63" s="166">
        <v>767.93</v>
      </c>
      <c r="R63" s="170">
        <v>861.8</v>
      </c>
      <c r="S63" s="702">
        <v>795.59427594747206</v>
      </c>
      <c r="T63" s="720"/>
      <c r="U63" s="34"/>
      <c r="AC63" s="72"/>
      <c r="AD63" s="72"/>
      <c r="AE63" s="72"/>
      <c r="AF63" s="72"/>
      <c r="AG63" s="72"/>
      <c r="AH63" s="72"/>
      <c r="AI63" s="72"/>
      <c r="AJ63" s="72"/>
      <c r="AK63" s="114"/>
      <c r="AL63" s="374"/>
      <c r="AM63" s="374"/>
      <c r="AN63" s="376"/>
      <c r="AO63" s="377"/>
      <c r="AP63" s="355"/>
      <c r="AQ63" s="355"/>
      <c r="AR63" s="355"/>
      <c r="AS63" s="355"/>
      <c r="AT63" s="355"/>
      <c r="AU63" s="355"/>
      <c r="AV63" s="355"/>
      <c r="AW63" s="355"/>
      <c r="AX63" s="355"/>
      <c r="AY63" s="355"/>
      <c r="AZ63" s="355"/>
      <c r="BA63" s="355"/>
      <c r="BB63" s="355"/>
      <c r="BC63" s="355"/>
      <c r="BD63" s="355"/>
      <c r="BE63" s="355"/>
      <c r="BF63" s="355"/>
      <c r="BG63" s="355"/>
      <c r="BH63" s="355"/>
      <c r="BI63" s="355"/>
      <c r="BJ63" s="355"/>
      <c r="BK63" s="370"/>
      <c r="BL63" s="370"/>
      <c r="BM63" s="370"/>
      <c r="BN63" s="370"/>
      <c r="BO63" s="370"/>
      <c r="BP63" s="370"/>
      <c r="BQ63" s="370"/>
      <c r="BR63" s="370"/>
      <c r="BS63" s="370"/>
      <c r="BT63" s="751" t="str">
        <f t="shared" si="28"/>
        <v/>
      </c>
      <c r="BU63" s="370">
        <f t="shared" si="29"/>
        <v>0</v>
      </c>
      <c r="BV63" s="370"/>
      <c r="BW63" s="370"/>
      <c r="BX63" s="751" t="str">
        <f t="shared" si="32"/>
        <v/>
      </c>
      <c r="BY63" s="370">
        <f t="shared" si="33"/>
        <v>0</v>
      </c>
      <c r="BZ63" s="370"/>
      <c r="CA63" s="371"/>
      <c r="CB63" s="355"/>
      <c r="CC63" s="355"/>
      <c r="CD63" s="355"/>
      <c r="CE63" s="355"/>
      <c r="CF63" s="355"/>
      <c r="CG63" s="355"/>
      <c r="CH63" s="355"/>
      <c r="CI63" s="355"/>
      <c r="CJ63" s="355"/>
      <c r="CK63" s="355"/>
      <c r="CL63" s="355"/>
      <c r="CM63" s="355"/>
      <c r="CN63" s="355"/>
      <c r="CO63" s="355"/>
      <c r="CP63" s="355"/>
      <c r="CQ63" s="355"/>
      <c r="CR63" s="355"/>
    </row>
    <row r="64" spans="1:96" ht="35.25" customHeight="1" thickBot="1" x14ac:dyDescent="0.3">
      <c r="A64" s="265" t="s">
        <v>509</v>
      </c>
      <c r="B64" s="271"/>
      <c r="C64" s="272" t="b">
        <f>AH35</f>
        <v>0</v>
      </c>
      <c r="D64" s="272">
        <f>AH36</f>
        <v>1.141</v>
      </c>
      <c r="E64" s="273">
        <f>AVERAGE(AH10:AH33)</f>
        <v>0.14183333333333328</v>
      </c>
      <c r="F64" s="269">
        <f>SUM(AH10:AH33)</f>
        <v>3.403999999999999</v>
      </c>
      <c r="K64" s="149"/>
      <c r="O64" s="180">
        <v>46110.291664699071</v>
      </c>
      <c r="P64" s="166">
        <v>0.02</v>
      </c>
      <c r="Q64" s="166">
        <v>767.93</v>
      </c>
      <c r="R64" s="170">
        <v>861.8</v>
      </c>
      <c r="S64" s="702">
        <v>795.59427594747206</v>
      </c>
      <c r="T64" s="720"/>
      <c r="U64" s="34"/>
      <c r="AC64" s="72"/>
      <c r="AD64" s="72"/>
      <c r="AE64" s="72"/>
      <c r="AF64" s="72"/>
      <c r="AG64" s="72"/>
      <c r="AH64" s="72"/>
      <c r="AI64" s="72"/>
      <c r="AJ64" s="72"/>
      <c r="AK64" s="115"/>
      <c r="AL64" s="374"/>
      <c r="AM64" s="374"/>
      <c r="AN64" s="364"/>
      <c r="AO64" s="363"/>
      <c r="AP64" s="355"/>
      <c r="AQ64" s="355"/>
      <c r="AR64" s="355"/>
      <c r="AS64" s="355"/>
      <c r="AT64" s="355"/>
      <c r="AU64" s="355"/>
      <c r="AV64" s="355"/>
      <c r="AW64" s="355"/>
      <c r="AX64" s="355"/>
      <c r="AY64" s="355"/>
      <c r="AZ64" s="355"/>
      <c r="BA64" s="355"/>
      <c r="BB64" s="355"/>
      <c r="BC64" s="355"/>
      <c r="BD64" s="355"/>
      <c r="BE64" s="355"/>
      <c r="BF64" s="355"/>
      <c r="BG64" s="355"/>
      <c r="BH64" s="355"/>
      <c r="BI64" s="355"/>
      <c r="BJ64" s="355"/>
      <c r="BK64" s="370"/>
      <c r="BL64" s="370"/>
      <c r="BM64" s="370"/>
      <c r="BN64" s="370"/>
      <c r="BO64" s="370"/>
      <c r="BP64" s="370"/>
      <c r="BQ64" s="370"/>
      <c r="BR64" s="370"/>
      <c r="BS64" s="370"/>
      <c r="BT64" s="751" t="str">
        <f t="shared" si="28"/>
        <v/>
      </c>
      <c r="BU64" s="370">
        <f t="shared" si="29"/>
        <v>0</v>
      </c>
      <c r="BV64" s="370"/>
      <c r="BW64" s="370"/>
      <c r="BX64" s="751" t="str">
        <f t="shared" si="32"/>
        <v/>
      </c>
      <c r="BY64" s="370">
        <f t="shared" si="33"/>
        <v>0</v>
      </c>
      <c r="BZ64" s="370"/>
      <c r="CA64" s="371"/>
      <c r="CB64" s="355"/>
      <c r="CC64" s="355"/>
      <c r="CD64" s="355"/>
      <c r="CE64" s="355"/>
      <c r="CF64" s="355"/>
      <c r="CG64" s="355"/>
      <c r="CH64" s="355"/>
      <c r="CI64" s="355"/>
      <c r="CJ64" s="355"/>
      <c r="CK64" s="355"/>
      <c r="CL64" s="355"/>
      <c r="CM64" s="355"/>
      <c r="CN64" s="355"/>
      <c r="CO64" s="355"/>
      <c r="CP64" s="355"/>
      <c r="CQ64" s="355"/>
      <c r="CR64" s="355"/>
    </row>
    <row r="65" spans="1:96" ht="35.25" customHeight="1" x14ac:dyDescent="0.25">
      <c r="A65" s="255" t="s">
        <v>510</v>
      </c>
      <c r="B65" s="263"/>
      <c r="C65" s="276">
        <f>V35*100</f>
        <v>49086</v>
      </c>
      <c r="D65" s="276">
        <f>V36*100</f>
        <v>62263</v>
      </c>
      <c r="E65" s="277">
        <f>V34*100</f>
        <v>60534.125000000007</v>
      </c>
      <c r="F65" s="321" t="s">
        <v>511</v>
      </c>
      <c r="G65" s="260"/>
      <c r="O65" s="180">
        <v>46110.333331076392</v>
      </c>
      <c r="P65" s="166">
        <v>0.02</v>
      </c>
      <c r="Q65" s="166">
        <v>767.99</v>
      </c>
      <c r="R65" s="170">
        <v>861.8</v>
      </c>
      <c r="S65" s="702">
        <v>795.59427594747206</v>
      </c>
      <c r="T65" s="720"/>
      <c r="U65" s="34"/>
      <c r="AC65" s="72"/>
      <c r="AD65" s="72"/>
      <c r="AE65" s="72"/>
      <c r="AF65" s="72"/>
      <c r="AG65" s="72"/>
      <c r="AH65" s="72"/>
      <c r="AJ65" s="72"/>
      <c r="AK65" s="115"/>
      <c r="AL65" s="374"/>
      <c r="AM65" s="374"/>
      <c r="AN65" s="364"/>
      <c r="AO65" s="363"/>
      <c r="AP65" s="355"/>
      <c r="AQ65" s="355"/>
      <c r="AR65" s="355"/>
      <c r="AS65" s="355"/>
      <c r="AT65" s="355"/>
      <c r="AU65" s="355"/>
      <c r="AV65" s="355"/>
      <c r="AW65" s="355"/>
      <c r="AX65" s="355"/>
      <c r="AY65" s="355"/>
      <c r="AZ65" s="355"/>
      <c r="BA65" s="355"/>
      <c r="BB65" s="355"/>
      <c r="BC65" s="355"/>
      <c r="BD65" s="355"/>
      <c r="BE65" s="355"/>
      <c r="BF65" s="355"/>
      <c r="BG65" s="355"/>
      <c r="BH65" s="355"/>
      <c r="BI65" s="355"/>
      <c r="BJ65" s="355"/>
      <c r="BK65" s="370"/>
      <c r="BL65" s="370"/>
      <c r="BM65" s="370"/>
      <c r="BN65" s="370"/>
      <c r="BO65" s="370"/>
      <c r="BP65" s="370"/>
      <c r="BQ65" s="370"/>
      <c r="BR65" s="370"/>
      <c r="BS65" s="370"/>
      <c r="BT65" s="751" t="str">
        <f t="shared" si="28"/>
        <v/>
      </c>
      <c r="BU65" s="370">
        <f t="shared" si="29"/>
        <v>0</v>
      </c>
      <c r="BV65" s="370"/>
      <c r="BW65" s="370"/>
      <c r="BX65" s="751" t="str">
        <f t="shared" si="32"/>
        <v/>
      </c>
      <c r="BY65" s="370">
        <f t="shared" si="33"/>
        <v>0</v>
      </c>
      <c r="BZ65" s="370"/>
      <c r="CA65" s="371"/>
      <c r="CB65" s="355"/>
      <c r="CC65" s="355"/>
      <c r="CD65" s="355"/>
      <c r="CE65" s="355"/>
      <c r="CF65" s="355"/>
      <c r="CG65" s="355"/>
      <c r="CH65" s="355"/>
      <c r="CI65" s="355"/>
      <c r="CJ65" s="355"/>
      <c r="CK65" s="355"/>
      <c r="CL65" s="355"/>
      <c r="CM65" s="355"/>
      <c r="CN65" s="355"/>
      <c r="CO65" s="355"/>
      <c r="CP65" s="355"/>
      <c r="CQ65" s="355"/>
      <c r="CR65" s="355"/>
    </row>
    <row r="66" spans="1:96" ht="35.25" customHeight="1" x14ac:dyDescent="0.25">
      <c r="A66" s="264" t="s">
        <v>513</v>
      </c>
      <c r="B66" s="158"/>
      <c r="C66" s="278">
        <f>W35</f>
        <v>74.400000000000006</v>
      </c>
      <c r="D66" s="278">
        <f>W36</f>
        <v>84.67</v>
      </c>
      <c r="E66" s="279">
        <f>W34</f>
        <v>75.855000000000004</v>
      </c>
      <c r="F66" s="280"/>
      <c r="G66"/>
      <c r="O66" s="180">
        <v>46110.374997511572</v>
      </c>
      <c r="P66" s="171">
        <v>0.02</v>
      </c>
      <c r="Q66" s="166">
        <v>767.99</v>
      </c>
      <c r="R66" s="170">
        <v>861.8</v>
      </c>
      <c r="S66" s="702">
        <v>795.59427594747206</v>
      </c>
      <c r="T66" s="720"/>
      <c r="U66" s="34"/>
      <c r="AC66" s="72"/>
      <c r="AD66" s="72"/>
      <c r="AE66" s="72"/>
      <c r="AF66" s="72"/>
      <c r="AG66" s="72"/>
      <c r="AH66" s="72"/>
      <c r="AI66" s="72"/>
      <c r="AK66" s="115"/>
      <c r="AL66" s="374"/>
      <c r="AM66" s="374"/>
      <c r="AN66" s="364"/>
      <c r="AO66" s="363"/>
      <c r="AP66" s="355"/>
      <c r="AQ66" s="355"/>
      <c r="AR66" s="355"/>
      <c r="AS66" s="355"/>
      <c r="AT66" s="355"/>
      <c r="AU66" s="355"/>
      <c r="AV66" s="355"/>
      <c r="AW66" s="355"/>
      <c r="AX66" s="355"/>
      <c r="AY66" s="355"/>
      <c r="AZ66" s="355"/>
      <c r="BA66" s="355"/>
      <c r="BB66" s="355"/>
      <c r="BC66" s="355"/>
      <c r="BD66" s="355"/>
      <c r="BE66" s="355"/>
      <c r="BF66" s="355"/>
      <c r="BG66" s="355"/>
      <c r="BH66" s="355"/>
      <c r="BI66" s="355"/>
      <c r="BJ66" s="355"/>
      <c r="BK66" s="378"/>
      <c r="BL66" s="378"/>
      <c r="BM66" s="378"/>
      <c r="BN66" s="378"/>
      <c r="BO66" s="378"/>
      <c r="BP66" s="378"/>
      <c r="BQ66" s="378"/>
      <c r="BR66" s="378"/>
      <c r="BS66" s="378"/>
      <c r="BT66" s="753" t="str">
        <f t="shared" si="28"/>
        <v/>
      </c>
      <c r="BU66" s="378">
        <f t="shared" si="29"/>
        <v>0</v>
      </c>
      <c r="BV66" s="378"/>
      <c r="BW66" s="378"/>
      <c r="BX66" s="753" t="str">
        <f t="shared" si="32"/>
        <v/>
      </c>
      <c r="BY66" s="378">
        <f t="shared" si="33"/>
        <v>0</v>
      </c>
      <c r="BZ66" s="378"/>
      <c r="CA66" s="355"/>
      <c r="CB66" s="355"/>
      <c r="CC66" s="355"/>
      <c r="CD66" s="355"/>
      <c r="CE66" s="355"/>
      <c r="CF66" s="355"/>
      <c r="CG66" s="355"/>
      <c r="CH66" s="355"/>
      <c r="CI66" s="355"/>
      <c r="CJ66" s="355"/>
      <c r="CK66" s="355"/>
      <c r="CL66" s="355"/>
      <c r="CM66" s="355"/>
      <c r="CN66" s="355"/>
      <c r="CO66" s="355"/>
      <c r="CP66" s="355"/>
      <c r="CQ66" s="355"/>
      <c r="CR66" s="355"/>
    </row>
    <row r="67" spans="1:96" ht="35.25" customHeight="1" x14ac:dyDescent="0.25">
      <c r="A67" s="264" t="s">
        <v>75</v>
      </c>
      <c r="B67" s="158"/>
      <c r="C67" s="278">
        <f>D35/100</f>
        <v>8.0929527731701215E-2</v>
      </c>
      <c r="D67" s="278">
        <f>D36/100</f>
        <v>1.5676537293149804</v>
      </c>
      <c r="E67" s="279">
        <f>D34/100</f>
        <v>0.19831122468043144</v>
      </c>
      <c r="F67" s="322" t="s">
        <v>514</v>
      </c>
      <c r="G67" s="72"/>
      <c r="L67" s="72"/>
      <c r="M67" s="72"/>
      <c r="N67" s="72"/>
      <c r="O67" s="180">
        <v>46110.416663946758</v>
      </c>
      <c r="P67" s="166">
        <v>0.2</v>
      </c>
      <c r="Q67" s="166">
        <v>767.99</v>
      </c>
      <c r="R67" s="170">
        <v>861.8</v>
      </c>
      <c r="S67" s="702">
        <v>795.59427594747206</v>
      </c>
      <c r="T67" s="720"/>
      <c r="U67" s="718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112"/>
      <c r="AI67" s="112"/>
      <c r="AJ67" s="112"/>
      <c r="AK67" s="115"/>
      <c r="AL67" s="371"/>
      <c r="AM67" s="371"/>
      <c r="AN67" s="364"/>
      <c r="AO67" s="363"/>
      <c r="AP67" s="355"/>
      <c r="AQ67" s="355"/>
      <c r="AR67" s="355"/>
      <c r="AS67" s="355"/>
      <c r="AT67" s="355"/>
      <c r="AU67" s="355"/>
      <c r="AV67" s="355"/>
      <c r="AW67" s="355"/>
      <c r="AX67" s="355"/>
      <c r="AY67" s="355"/>
      <c r="AZ67" s="355"/>
      <c r="BA67" s="355"/>
      <c r="BB67" s="355"/>
      <c r="BC67" s="355"/>
      <c r="BD67" s="355"/>
      <c r="BE67" s="355"/>
      <c r="BF67" s="355"/>
      <c r="BG67" s="355"/>
      <c r="BH67" s="379"/>
      <c r="BI67" s="379"/>
      <c r="BJ67" s="379"/>
      <c r="BK67" s="378"/>
      <c r="BL67" s="378"/>
      <c r="BM67" s="378"/>
      <c r="BN67" s="378"/>
      <c r="BO67" s="378"/>
      <c r="BP67" s="378"/>
      <c r="BQ67" s="378"/>
      <c r="BR67" s="378"/>
      <c r="BS67" s="378"/>
      <c r="BT67" s="753" t="str">
        <f t="shared" si="28"/>
        <v/>
      </c>
      <c r="BU67" s="378">
        <f t="shared" si="29"/>
        <v>0</v>
      </c>
      <c r="BV67" s="378"/>
      <c r="BW67" s="378"/>
      <c r="BX67" s="753" t="str">
        <f t="shared" si="32"/>
        <v/>
      </c>
      <c r="BY67" s="378">
        <f t="shared" si="33"/>
        <v>0</v>
      </c>
      <c r="BZ67" s="378"/>
      <c r="CA67" s="355"/>
      <c r="CB67" s="355"/>
      <c r="CC67" s="355"/>
      <c r="CD67" s="355"/>
      <c r="CE67" s="355"/>
      <c r="CF67" s="355"/>
      <c r="CG67" s="355"/>
      <c r="CH67" s="355"/>
      <c r="CI67" s="355"/>
      <c r="CJ67" s="355"/>
      <c r="CK67" s="355"/>
      <c r="CL67" s="355"/>
      <c r="CM67" s="355"/>
      <c r="CN67" s="355"/>
      <c r="CO67" s="355"/>
      <c r="CP67" s="355"/>
      <c r="CQ67" s="355"/>
      <c r="CR67" s="355"/>
    </row>
    <row r="68" spans="1:96" ht="35.25" customHeight="1" x14ac:dyDescent="0.3">
      <c r="A68" s="264" t="s">
        <v>76</v>
      </c>
      <c r="B68" s="158"/>
      <c r="C68" s="278">
        <f>G35</f>
        <v>0</v>
      </c>
      <c r="D68" s="278">
        <f>G36</f>
        <v>3.6848532468813451</v>
      </c>
      <c r="E68" s="279">
        <f>G34</f>
        <v>0.62344966328968143</v>
      </c>
      <c r="F68" s="280"/>
      <c r="K68" s="112"/>
      <c r="L68" s="112"/>
      <c r="M68" s="112"/>
      <c r="N68" s="112"/>
      <c r="O68" s="180">
        <v>46110.458330381945</v>
      </c>
      <c r="P68" s="166">
        <v>0.2</v>
      </c>
      <c r="Q68" s="166">
        <v>767.99</v>
      </c>
      <c r="R68" s="170">
        <v>861.8</v>
      </c>
      <c r="S68" s="702">
        <v>795.59427594747206</v>
      </c>
      <c r="T68" s="720"/>
      <c r="U68" s="718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112"/>
      <c r="AI68" s="112"/>
      <c r="AJ68" s="112"/>
      <c r="AK68" s="31"/>
      <c r="AL68" s="355"/>
      <c r="AM68" s="355"/>
      <c r="AN68" s="355"/>
      <c r="AO68" s="355"/>
      <c r="AP68" s="355"/>
      <c r="AQ68" s="355"/>
      <c r="AR68" s="355"/>
      <c r="AS68" s="355"/>
      <c r="AT68" s="355"/>
      <c r="AU68" s="355"/>
      <c r="AV68" s="355"/>
      <c r="AW68" s="355"/>
      <c r="AX68" s="355"/>
      <c r="AY68" s="355"/>
      <c r="AZ68" s="355"/>
      <c r="BA68" s="355"/>
      <c r="BB68" s="355"/>
      <c r="BC68" s="355"/>
      <c r="BD68" s="355"/>
      <c r="BE68" s="355"/>
      <c r="BF68" s="355"/>
      <c r="BG68" s="355"/>
      <c r="BH68" s="375"/>
      <c r="BI68" s="375"/>
      <c r="BJ68" s="375"/>
      <c r="BK68" s="378"/>
      <c r="BL68" s="378"/>
      <c r="BM68" s="378"/>
      <c r="BN68" s="378"/>
      <c r="BO68" s="378"/>
      <c r="BP68" s="378"/>
      <c r="BQ68" s="378"/>
      <c r="BR68" s="378"/>
      <c r="BS68" s="378"/>
      <c r="BT68" s="753" t="str">
        <f t="shared" si="28"/>
        <v/>
      </c>
      <c r="BU68" s="378">
        <f t="shared" si="29"/>
        <v>0</v>
      </c>
      <c r="BV68" s="378"/>
      <c r="BW68" s="378"/>
      <c r="BX68" s="753" t="str">
        <f t="shared" si="32"/>
        <v/>
      </c>
      <c r="BY68" s="378">
        <f t="shared" si="33"/>
        <v>0</v>
      </c>
      <c r="BZ68" s="378"/>
      <c r="CA68" s="355"/>
      <c r="CB68" s="355"/>
      <c r="CC68" s="355"/>
      <c r="CD68" s="355"/>
      <c r="CE68" s="355"/>
      <c r="CF68" s="355"/>
      <c r="CG68" s="355"/>
      <c r="CH68" s="355"/>
      <c r="CI68" s="355"/>
      <c r="CJ68" s="355"/>
      <c r="CK68" s="355"/>
      <c r="CL68" s="355"/>
      <c r="CM68" s="355"/>
      <c r="CN68" s="355"/>
      <c r="CO68" s="355"/>
      <c r="CP68" s="355"/>
      <c r="CQ68" s="355"/>
      <c r="CR68" s="355"/>
    </row>
    <row r="69" spans="1:96" ht="35.25" customHeight="1" thickBot="1" x14ac:dyDescent="0.35">
      <c r="A69" s="265" t="s">
        <v>77</v>
      </c>
      <c r="B69" s="266"/>
      <c r="C69" s="267" t="s">
        <v>12</v>
      </c>
      <c r="D69" s="267" t="s">
        <v>12</v>
      </c>
      <c r="E69" s="268" t="s">
        <v>12</v>
      </c>
      <c r="F69" s="280"/>
      <c r="G69" s="112"/>
      <c r="K69" s="112"/>
      <c r="L69" s="112"/>
      <c r="M69" s="112"/>
      <c r="N69" s="112"/>
      <c r="O69" s="180">
        <v>46110.499996817132</v>
      </c>
      <c r="P69" s="166">
        <v>0.2</v>
      </c>
      <c r="Q69" s="166">
        <v>767.99</v>
      </c>
      <c r="R69" s="170">
        <v>861.8</v>
      </c>
      <c r="S69" s="702">
        <v>795.59427594747206</v>
      </c>
      <c r="T69" s="720"/>
      <c r="U69" s="718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31"/>
      <c r="AL69" s="371"/>
      <c r="AM69" s="371"/>
      <c r="AN69" s="355"/>
      <c r="AO69" s="355"/>
      <c r="AP69" s="355"/>
      <c r="AQ69" s="355"/>
      <c r="AR69" s="355"/>
      <c r="AS69" s="355"/>
      <c r="AT69" s="355"/>
      <c r="AU69" s="355"/>
      <c r="AV69" s="355"/>
      <c r="AW69" s="355"/>
      <c r="AX69" s="355"/>
      <c r="AY69" s="355"/>
      <c r="AZ69" s="355"/>
      <c r="BA69" s="355"/>
      <c r="BB69" s="355"/>
      <c r="BC69" s="355"/>
      <c r="BD69" s="355"/>
      <c r="BE69" s="355"/>
      <c r="BF69" s="355"/>
      <c r="BG69" s="355"/>
      <c r="BH69" s="375"/>
      <c r="BI69" s="375"/>
      <c r="BJ69" s="375"/>
      <c r="BK69" s="378"/>
      <c r="BL69" s="378"/>
      <c r="BM69" s="378"/>
      <c r="BN69" s="378"/>
      <c r="BO69" s="378"/>
      <c r="BP69" s="378"/>
      <c r="BQ69" s="378"/>
      <c r="BR69" s="378"/>
      <c r="BS69" s="378"/>
      <c r="BT69" s="753" t="str">
        <f t="shared" si="28"/>
        <v/>
      </c>
      <c r="BU69" s="378">
        <f t="shared" si="29"/>
        <v>0</v>
      </c>
      <c r="BV69" s="378"/>
      <c r="BW69" s="378"/>
      <c r="BX69" s="753" t="str">
        <f t="shared" si="32"/>
        <v/>
      </c>
      <c r="BY69" s="378">
        <f t="shared" si="33"/>
        <v>0</v>
      </c>
      <c r="BZ69" s="378"/>
      <c r="CA69" s="355"/>
      <c r="CB69" s="355"/>
      <c r="CC69" s="355"/>
      <c r="CD69" s="355"/>
      <c r="CE69" s="355"/>
      <c r="CF69" s="355"/>
      <c r="CG69" s="355"/>
      <c r="CH69" s="355"/>
      <c r="CI69" s="355"/>
      <c r="CJ69" s="355"/>
      <c r="CK69" s="355"/>
      <c r="CL69" s="355"/>
      <c r="CM69" s="355"/>
      <c r="CN69" s="355"/>
      <c r="CO69" s="355"/>
      <c r="CP69" s="355"/>
      <c r="CQ69" s="355"/>
      <c r="CR69" s="355"/>
    </row>
    <row r="70" spans="1:96" ht="35.25" customHeight="1" x14ac:dyDescent="0.25">
      <c r="B70" s="80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80">
        <v>46110.541663252312</v>
      </c>
      <c r="P70" s="171">
        <v>0.06</v>
      </c>
      <c r="Q70" s="166">
        <v>768.45</v>
      </c>
      <c r="R70" s="170">
        <v>861.8</v>
      </c>
      <c r="S70" s="702">
        <v>795.59427594747206</v>
      </c>
      <c r="T70" s="720"/>
      <c r="U70" s="717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72"/>
      <c r="AL70" s="355"/>
      <c r="AM70" s="355"/>
      <c r="AN70" s="355"/>
      <c r="AO70" s="355"/>
      <c r="AP70" s="355"/>
      <c r="AQ70" s="355"/>
      <c r="AR70" s="355"/>
      <c r="AS70" s="355"/>
      <c r="AT70" s="355"/>
      <c r="AU70" s="355"/>
      <c r="AV70" s="355"/>
      <c r="AW70" s="355"/>
      <c r="AX70" s="355"/>
      <c r="AY70" s="355"/>
      <c r="AZ70" s="355"/>
      <c r="BA70" s="355"/>
      <c r="BB70" s="355"/>
      <c r="BC70" s="355"/>
      <c r="BD70" s="355"/>
      <c r="BE70" s="355"/>
      <c r="BF70" s="355"/>
      <c r="BG70" s="355"/>
      <c r="BH70" s="378"/>
      <c r="BI70" s="378"/>
      <c r="BJ70" s="378"/>
      <c r="BK70" s="378"/>
      <c r="BL70" s="378"/>
      <c r="BM70" s="378"/>
      <c r="BN70" s="378"/>
      <c r="BO70" s="378"/>
      <c r="BP70" s="378"/>
      <c r="BQ70" s="378"/>
      <c r="BR70" s="378"/>
      <c r="BS70" s="378"/>
      <c r="BT70" s="753" t="str">
        <f t="shared" si="28"/>
        <v/>
      </c>
      <c r="BU70" s="378">
        <f t="shared" si="29"/>
        <v>0</v>
      </c>
      <c r="BV70" s="378"/>
      <c r="BW70" s="378"/>
      <c r="BX70" s="753" t="str">
        <f t="shared" si="32"/>
        <v/>
      </c>
      <c r="BY70" s="378">
        <f t="shared" si="33"/>
        <v>0</v>
      </c>
      <c r="BZ70" s="378"/>
      <c r="CA70" s="355"/>
      <c r="CB70" s="355"/>
      <c r="CC70" s="355"/>
      <c r="CD70" s="355"/>
      <c r="CE70" s="355"/>
      <c r="CF70" s="355"/>
      <c r="CG70" s="355"/>
      <c r="CH70" s="355"/>
      <c r="CI70" s="355"/>
      <c r="CJ70" s="355"/>
      <c r="CK70" s="355"/>
      <c r="CL70" s="355"/>
      <c r="CM70" s="355"/>
      <c r="CN70" s="355"/>
      <c r="CO70" s="355"/>
      <c r="CP70" s="355"/>
      <c r="CQ70" s="355"/>
      <c r="CR70" s="355"/>
    </row>
    <row r="71" spans="1:96" ht="35.25" customHeight="1" x14ac:dyDescent="0.25">
      <c r="B71" s="80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180">
        <v>46110.583329687499</v>
      </c>
      <c r="P71" s="166">
        <v>0.06</v>
      </c>
      <c r="Q71" s="166">
        <v>768.45</v>
      </c>
      <c r="R71" s="170">
        <v>861.8</v>
      </c>
      <c r="S71" s="702">
        <v>795.59427594747206</v>
      </c>
      <c r="T71" s="720"/>
      <c r="U71" s="717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L71" s="355"/>
      <c r="AM71" s="355"/>
      <c r="AN71" s="355"/>
      <c r="AO71" s="355"/>
      <c r="AP71" s="355"/>
      <c r="AQ71" s="355"/>
      <c r="AR71" s="355"/>
      <c r="AS71" s="355"/>
      <c r="AT71" s="355"/>
      <c r="AU71" s="355"/>
      <c r="AV71" s="355"/>
      <c r="AW71" s="355"/>
      <c r="AX71" s="355"/>
      <c r="AY71" s="355"/>
      <c r="AZ71" s="355"/>
      <c r="BA71" s="355"/>
      <c r="BB71" s="355"/>
      <c r="BC71" s="355"/>
      <c r="BD71" s="355"/>
      <c r="BE71" s="355"/>
      <c r="BF71" s="355"/>
      <c r="BG71" s="355"/>
      <c r="BH71" s="378"/>
      <c r="BI71" s="378"/>
      <c r="BJ71" s="378"/>
      <c r="BK71" s="378"/>
      <c r="BL71" s="378"/>
      <c r="BM71" s="378"/>
      <c r="BN71" s="378"/>
      <c r="BO71" s="378"/>
      <c r="BP71" s="378"/>
      <c r="BQ71" s="378"/>
      <c r="BR71" s="378"/>
      <c r="BS71" s="378"/>
      <c r="BT71" s="753" t="str">
        <f t="shared" si="28"/>
        <v/>
      </c>
      <c r="BU71" s="378">
        <f t="shared" si="29"/>
        <v>0</v>
      </c>
      <c r="BV71" s="378"/>
      <c r="BW71" s="378"/>
      <c r="BX71" s="753" t="str">
        <f t="shared" si="32"/>
        <v/>
      </c>
      <c r="BY71" s="378">
        <f t="shared" si="33"/>
        <v>0</v>
      </c>
      <c r="BZ71" s="378"/>
      <c r="CA71" s="355"/>
      <c r="CB71" s="355"/>
      <c r="CC71" s="355"/>
      <c r="CD71" s="355"/>
      <c r="CE71" s="355"/>
      <c r="CF71" s="355"/>
      <c r="CG71" s="355"/>
      <c r="CH71" s="355"/>
      <c r="CI71" s="355"/>
      <c r="CJ71" s="355"/>
      <c r="CK71" s="355"/>
      <c r="CL71" s="355"/>
      <c r="CM71" s="355"/>
      <c r="CN71" s="355"/>
      <c r="CO71" s="355"/>
      <c r="CP71" s="355"/>
      <c r="CQ71" s="355"/>
      <c r="CR71" s="355"/>
    </row>
    <row r="72" spans="1:96" ht="35.25" customHeight="1" x14ac:dyDescent="0.25">
      <c r="B72" s="80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180">
        <v>46110.624996122686</v>
      </c>
      <c r="P72" s="166">
        <v>0.06</v>
      </c>
      <c r="Q72" s="166">
        <v>768.45</v>
      </c>
      <c r="R72" s="170">
        <v>861.8</v>
      </c>
      <c r="S72" s="702">
        <v>795.59427594747206</v>
      </c>
      <c r="T72" s="720"/>
      <c r="U72" s="717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L72" s="355"/>
      <c r="AM72" s="355"/>
      <c r="AN72" s="355"/>
      <c r="AO72" s="355"/>
      <c r="AP72" s="355"/>
      <c r="AQ72" s="355"/>
      <c r="AR72" s="355"/>
      <c r="AS72" s="355"/>
      <c r="AT72" s="355"/>
      <c r="AU72" s="355"/>
      <c r="AV72" s="355"/>
      <c r="AW72" s="355"/>
      <c r="AX72" s="355"/>
      <c r="AY72" s="355"/>
      <c r="AZ72" s="355"/>
      <c r="BA72" s="355"/>
      <c r="BB72" s="355"/>
      <c r="BC72" s="355"/>
      <c r="BD72" s="355"/>
      <c r="BE72" s="355"/>
      <c r="BF72" s="355"/>
      <c r="BG72" s="355"/>
      <c r="BH72" s="378"/>
      <c r="BI72" s="378"/>
      <c r="BJ72" s="378"/>
      <c r="BK72" s="378"/>
      <c r="BL72" s="378"/>
      <c r="BM72" s="378"/>
      <c r="BN72" s="378"/>
      <c r="BO72" s="378"/>
      <c r="BP72" s="378"/>
      <c r="BQ72" s="378"/>
      <c r="BR72" s="378"/>
      <c r="BS72" s="378"/>
      <c r="BT72" s="753" t="str">
        <f t="shared" si="28"/>
        <v/>
      </c>
      <c r="BU72" s="378">
        <f t="shared" si="29"/>
        <v>0</v>
      </c>
      <c r="BV72" s="378"/>
      <c r="BW72" s="378"/>
      <c r="BX72" s="753" t="str">
        <f t="shared" si="32"/>
        <v/>
      </c>
      <c r="BY72" s="378">
        <f t="shared" si="33"/>
        <v>0</v>
      </c>
      <c r="BZ72" s="378"/>
      <c r="CA72" s="355"/>
      <c r="CB72" s="355"/>
      <c r="CC72" s="355"/>
      <c r="CD72" s="355"/>
      <c r="CE72" s="355"/>
      <c r="CF72" s="355"/>
      <c r="CG72" s="355"/>
      <c r="CH72" s="355"/>
      <c r="CI72" s="355"/>
      <c r="CJ72" s="355"/>
      <c r="CK72" s="355"/>
      <c r="CL72" s="355"/>
      <c r="CM72" s="355"/>
      <c r="CN72" s="355"/>
      <c r="CO72" s="355"/>
      <c r="CP72" s="355"/>
      <c r="CQ72" s="355"/>
      <c r="CR72" s="355"/>
    </row>
    <row r="73" spans="1:96" ht="35.25" customHeight="1" x14ac:dyDescent="0.25">
      <c r="A73" s="80"/>
      <c r="B73" s="80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180">
        <v>46110.666662557873</v>
      </c>
      <c r="P73" s="166">
        <v>0.06</v>
      </c>
      <c r="Q73" s="166">
        <v>768.45</v>
      </c>
      <c r="R73" s="170">
        <v>861.8</v>
      </c>
      <c r="S73" s="702">
        <v>795.59427594747206</v>
      </c>
      <c r="T73" s="720"/>
      <c r="U73" s="717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L73" s="355"/>
      <c r="AM73" s="355"/>
      <c r="AN73" s="362"/>
      <c r="AO73" s="355"/>
      <c r="AP73" s="355"/>
      <c r="AQ73" s="355"/>
      <c r="AR73" s="355"/>
      <c r="AS73" s="355"/>
      <c r="AT73" s="355"/>
      <c r="AU73" s="355"/>
      <c r="AV73" s="355"/>
      <c r="AW73" s="355"/>
      <c r="AX73" s="355"/>
      <c r="AY73" s="355"/>
      <c r="AZ73" s="355"/>
      <c r="BA73" s="355"/>
      <c r="BB73" s="355"/>
      <c r="BC73" s="355"/>
      <c r="BD73" s="355"/>
      <c r="BE73" s="355"/>
      <c r="BF73" s="355"/>
      <c r="BG73" s="355"/>
      <c r="BH73" s="378"/>
      <c r="BI73" s="378"/>
      <c r="BJ73" s="378"/>
      <c r="BK73" s="378"/>
      <c r="BL73" s="378"/>
      <c r="BM73" s="378"/>
      <c r="BN73" s="378"/>
      <c r="BO73" s="378"/>
      <c r="BP73" s="378"/>
      <c r="BQ73" s="378"/>
      <c r="BR73" s="378"/>
      <c r="BS73" s="378"/>
      <c r="BT73" s="753" t="str">
        <f t="shared" si="28"/>
        <v/>
      </c>
      <c r="BU73" s="378">
        <f t="shared" si="29"/>
        <v>0</v>
      </c>
      <c r="BV73" s="378"/>
      <c r="BW73" s="378"/>
      <c r="BX73" s="753" t="str">
        <f t="shared" si="32"/>
        <v/>
      </c>
      <c r="BY73" s="378">
        <f t="shared" si="33"/>
        <v>0</v>
      </c>
      <c r="BZ73" s="378"/>
      <c r="CA73" s="355"/>
      <c r="CB73" s="355"/>
      <c r="CC73" s="355"/>
      <c r="CD73" s="355"/>
      <c r="CE73" s="355"/>
      <c r="CF73" s="355"/>
      <c r="CG73" s="355"/>
      <c r="CH73" s="355"/>
      <c r="CI73" s="355"/>
      <c r="CJ73" s="355"/>
      <c r="CK73" s="355"/>
      <c r="CL73" s="355"/>
      <c r="CM73" s="355"/>
      <c r="CN73" s="355"/>
      <c r="CO73" s="355"/>
      <c r="CP73" s="355"/>
      <c r="CQ73" s="355"/>
      <c r="CR73" s="355"/>
    </row>
    <row r="74" spans="1:96" ht="35.25" customHeight="1" x14ac:dyDescent="0.25">
      <c r="A74" s="80"/>
      <c r="B74" s="80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180">
        <v>46110.708328993052</v>
      </c>
      <c r="P74" s="171">
        <v>0.04</v>
      </c>
      <c r="Q74" s="166">
        <v>768.45</v>
      </c>
      <c r="R74" s="170">
        <v>861.8</v>
      </c>
      <c r="S74" s="702">
        <v>795.59427594747206</v>
      </c>
      <c r="T74" s="720"/>
      <c r="U74" s="717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L74" s="355"/>
      <c r="AM74" s="355"/>
      <c r="AN74" s="362"/>
      <c r="AO74" s="355"/>
      <c r="AP74" s="355"/>
      <c r="AQ74" s="355"/>
      <c r="AR74" s="355"/>
      <c r="AS74" s="355"/>
      <c r="AT74" s="355"/>
      <c r="AU74" s="355"/>
      <c r="AV74" s="355"/>
      <c r="AW74" s="355"/>
      <c r="AX74" s="355"/>
      <c r="AY74" s="355"/>
      <c r="AZ74" s="355"/>
      <c r="BA74" s="355"/>
      <c r="BB74" s="355"/>
      <c r="BC74" s="355"/>
      <c r="BD74" s="355"/>
      <c r="BE74" s="355"/>
      <c r="BF74" s="355"/>
      <c r="BG74" s="355"/>
      <c r="BH74" s="378"/>
      <c r="BI74" s="378"/>
      <c r="BJ74" s="378"/>
      <c r="BK74" s="378"/>
      <c r="BL74" s="378"/>
      <c r="BM74" s="378"/>
      <c r="BN74" s="378"/>
      <c r="BO74" s="378"/>
      <c r="BP74" s="378"/>
      <c r="BQ74" s="378"/>
      <c r="BR74" s="378"/>
      <c r="BS74" s="378"/>
      <c r="BT74" s="753" t="str">
        <f t="shared" si="28"/>
        <v/>
      </c>
      <c r="BU74" s="378">
        <f t="shared" si="29"/>
        <v>0</v>
      </c>
      <c r="BV74" s="378"/>
      <c r="BW74" s="378"/>
      <c r="BX74" s="753" t="str">
        <f t="shared" si="32"/>
        <v/>
      </c>
      <c r="BY74" s="378">
        <f t="shared" si="33"/>
        <v>0</v>
      </c>
      <c r="BZ74" s="378"/>
      <c r="CA74" s="355"/>
      <c r="CB74" s="355"/>
      <c r="CC74" s="355"/>
      <c r="CD74" s="355"/>
      <c r="CE74" s="355"/>
      <c r="CF74" s="355"/>
      <c r="CG74" s="355"/>
      <c r="CH74" s="355"/>
      <c r="CI74" s="355"/>
      <c r="CJ74" s="355"/>
      <c r="CK74" s="355"/>
      <c r="CL74" s="355"/>
      <c r="CM74" s="355"/>
      <c r="CN74" s="355"/>
      <c r="CO74" s="355"/>
      <c r="CP74" s="355"/>
      <c r="CQ74" s="355"/>
      <c r="CR74" s="355"/>
    </row>
    <row r="75" spans="1:96" ht="35.25" customHeight="1" x14ac:dyDescent="0.25">
      <c r="A75" s="80"/>
      <c r="B75" s="80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180">
        <v>46110.749995428239</v>
      </c>
      <c r="P75" s="166">
        <v>0.04</v>
      </c>
      <c r="Q75" s="166">
        <v>768.45</v>
      </c>
      <c r="R75" s="170">
        <v>861.8</v>
      </c>
      <c r="S75" s="702">
        <v>795.59427594747206</v>
      </c>
      <c r="T75" s="720"/>
      <c r="U75" s="717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L75" s="355"/>
      <c r="AM75" s="355"/>
      <c r="AN75" s="362"/>
      <c r="AO75" s="355"/>
      <c r="AP75" s="355"/>
      <c r="AQ75" s="355"/>
      <c r="AR75" s="355"/>
      <c r="AS75" s="355"/>
      <c r="AT75" s="355"/>
      <c r="AU75" s="355"/>
      <c r="AV75" s="355"/>
      <c r="AW75" s="355"/>
      <c r="AX75" s="355"/>
      <c r="AY75" s="355"/>
      <c r="AZ75" s="355"/>
      <c r="BA75" s="355"/>
      <c r="BB75" s="355"/>
      <c r="BC75" s="355"/>
      <c r="BD75" s="355"/>
      <c r="BE75" s="355"/>
      <c r="BF75" s="355"/>
      <c r="BG75" s="355"/>
      <c r="BH75" s="378"/>
      <c r="BI75" s="378"/>
      <c r="BJ75" s="378"/>
      <c r="BK75" s="378"/>
      <c r="BL75" s="378"/>
      <c r="BM75" s="378"/>
      <c r="BN75" s="378"/>
      <c r="BO75" s="378"/>
      <c r="BP75" s="378"/>
      <c r="BQ75" s="378"/>
      <c r="BR75" s="378"/>
      <c r="BS75" s="378"/>
      <c r="BT75" s="753" t="str">
        <f t="shared" ref="BT75:BT86" si="73">IF(AL75=0,"",(AF75/AL75-1))</f>
        <v/>
      </c>
      <c r="BU75" s="378">
        <f t="shared" ref="BU75:BU86" si="74">AL75-AF75</f>
        <v>0</v>
      </c>
      <c r="BV75" s="378"/>
      <c r="BW75" s="378"/>
      <c r="BX75" s="753" t="str">
        <f t="shared" ref="BX75:BX86" si="75">IF(BG75=0,"",(AH75/BG75-1))</f>
        <v/>
      </c>
      <c r="BY75" s="378">
        <f t="shared" ref="BY75:BY86" si="76">BG75-AH75</f>
        <v>0</v>
      </c>
      <c r="BZ75" s="378"/>
      <c r="CA75" s="355"/>
      <c r="CB75" s="355"/>
      <c r="CC75" s="355"/>
      <c r="CD75" s="355"/>
      <c r="CE75" s="355"/>
      <c r="CF75" s="355"/>
      <c r="CG75" s="355"/>
      <c r="CH75" s="355"/>
      <c r="CI75" s="355"/>
      <c r="CJ75" s="355"/>
      <c r="CK75" s="355"/>
      <c r="CL75" s="355"/>
      <c r="CM75" s="355"/>
      <c r="CN75" s="355"/>
      <c r="CO75" s="355"/>
      <c r="CP75" s="355"/>
      <c r="CQ75" s="355"/>
      <c r="CR75" s="355"/>
    </row>
    <row r="76" spans="1:96" ht="35.25" customHeight="1" x14ac:dyDescent="0.25">
      <c r="A76" s="80"/>
      <c r="B76" s="80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180">
        <v>46110.791661805553</v>
      </c>
      <c r="P76" s="166">
        <v>0.04</v>
      </c>
      <c r="Q76" s="166">
        <v>768.45</v>
      </c>
      <c r="R76" s="170">
        <v>861.8</v>
      </c>
      <c r="S76" s="702">
        <v>795.59427594747206</v>
      </c>
      <c r="T76" s="720"/>
      <c r="U76" s="717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L76" s="355"/>
      <c r="AM76" s="355"/>
      <c r="AN76" s="362"/>
      <c r="AO76" s="355"/>
      <c r="AP76" s="355"/>
      <c r="AQ76" s="355"/>
      <c r="AR76" s="355"/>
      <c r="AS76" s="355"/>
      <c r="AT76" s="355"/>
      <c r="AU76" s="355"/>
      <c r="AV76" s="355"/>
      <c r="AW76" s="355"/>
      <c r="AX76" s="355"/>
      <c r="AY76" s="355"/>
      <c r="AZ76" s="355"/>
      <c r="BA76" s="355"/>
      <c r="BB76" s="355"/>
      <c r="BC76" s="355"/>
      <c r="BD76" s="355"/>
      <c r="BE76" s="355"/>
      <c r="BF76" s="355"/>
      <c r="BG76" s="355"/>
      <c r="BH76" s="378"/>
      <c r="BI76" s="378"/>
      <c r="BJ76" s="378"/>
      <c r="BK76" s="378"/>
      <c r="BL76" s="378"/>
      <c r="BM76" s="378"/>
      <c r="BN76" s="378"/>
      <c r="BO76" s="378"/>
      <c r="BP76" s="378"/>
      <c r="BQ76" s="378"/>
      <c r="BR76" s="378"/>
      <c r="BS76" s="378"/>
      <c r="BT76" s="753" t="str">
        <f t="shared" si="73"/>
        <v/>
      </c>
      <c r="BU76" s="378">
        <f t="shared" si="74"/>
        <v>0</v>
      </c>
      <c r="BV76" s="378"/>
      <c r="BW76" s="378"/>
      <c r="BX76" s="753" t="str">
        <f t="shared" si="75"/>
        <v/>
      </c>
      <c r="BY76" s="378">
        <f t="shared" si="76"/>
        <v>0</v>
      </c>
      <c r="BZ76" s="378"/>
      <c r="CA76" s="355"/>
      <c r="CB76" s="355"/>
      <c r="CC76" s="355"/>
      <c r="CD76" s="355"/>
      <c r="CE76" s="355"/>
      <c r="CF76" s="355"/>
      <c r="CG76" s="355"/>
      <c r="CH76" s="355"/>
      <c r="CI76" s="355"/>
      <c r="CJ76" s="355"/>
      <c r="CK76" s="355"/>
      <c r="CL76" s="355"/>
      <c r="CM76" s="355"/>
      <c r="CN76" s="355"/>
      <c r="CO76" s="355"/>
      <c r="CP76" s="355"/>
      <c r="CQ76" s="355"/>
      <c r="CR76" s="355"/>
    </row>
    <row r="77" spans="1:96" ht="35.25" customHeight="1" x14ac:dyDescent="0.25">
      <c r="A77" s="80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180">
        <v>46110.83332824074</v>
      </c>
      <c r="P77" s="166">
        <v>0.04</v>
      </c>
      <c r="Q77" s="166">
        <v>768.45</v>
      </c>
      <c r="R77" s="170">
        <v>861.8</v>
      </c>
      <c r="S77" s="702">
        <v>795.59427594747206</v>
      </c>
      <c r="T77" s="720"/>
      <c r="U77" s="717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L77" s="355"/>
      <c r="AM77" s="355"/>
      <c r="AN77" s="362"/>
      <c r="AO77" s="355"/>
      <c r="AP77" s="355"/>
      <c r="AQ77" s="355"/>
      <c r="AR77" s="355"/>
      <c r="AS77" s="355"/>
      <c r="AT77" s="355"/>
      <c r="AU77" s="355"/>
      <c r="AV77" s="355"/>
      <c r="AW77" s="355"/>
      <c r="AX77" s="355"/>
      <c r="AY77" s="355"/>
      <c r="AZ77" s="355"/>
      <c r="BA77" s="355"/>
      <c r="BB77" s="355"/>
      <c r="BC77" s="355"/>
      <c r="BD77" s="355"/>
      <c r="BE77" s="355"/>
      <c r="BF77" s="355"/>
      <c r="BG77" s="355"/>
      <c r="BH77" s="378"/>
      <c r="BI77" s="378"/>
      <c r="BJ77" s="378"/>
      <c r="BK77" s="378"/>
      <c r="BL77" s="378"/>
      <c r="BM77" s="378"/>
      <c r="BN77" s="378"/>
      <c r="BO77" s="378"/>
      <c r="BP77" s="378"/>
      <c r="BQ77" s="378"/>
      <c r="BR77" s="378"/>
      <c r="BS77" s="378"/>
      <c r="BT77" s="753" t="str">
        <f t="shared" si="73"/>
        <v/>
      </c>
      <c r="BU77" s="378">
        <f t="shared" si="74"/>
        <v>0</v>
      </c>
      <c r="BV77" s="378"/>
      <c r="BW77" s="378"/>
      <c r="BX77" s="753" t="str">
        <f t="shared" si="75"/>
        <v/>
      </c>
      <c r="BY77" s="378">
        <f t="shared" si="76"/>
        <v>0</v>
      </c>
      <c r="BZ77" s="378"/>
      <c r="CA77" s="355"/>
      <c r="CB77" s="355"/>
      <c r="CC77" s="355"/>
      <c r="CD77" s="355"/>
      <c r="CE77" s="355"/>
      <c r="CF77" s="355"/>
      <c r="CG77" s="355"/>
      <c r="CH77" s="355"/>
      <c r="CI77" s="355"/>
      <c r="CJ77" s="355"/>
      <c r="CK77" s="355"/>
      <c r="CL77" s="355"/>
      <c r="CM77" s="355"/>
      <c r="CN77" s="355"/>
      <c r="CO77" s="355"/>
      <c r="CP77" s="355"/>
      <c r="CQ77" s="355"/>
      <c r="CR77" s="355"/>
    </row>
    <row r="78" spans="1:96" ht="35.25" customHeight="1" thickBot="1" x14ac:dyDescent="0.3"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180">
        <v>46110.874994675927</v>
      </c>
      <c r="P78" s="171">
        <v>0.16</v>
      </c>
      <c r="Q78" s="166">
        <v>768.45</v>
      </c>
      <c r="R78" s="170">
        <v>861.8</v>
      </c>
      <c r="S78" s="702">
        <v>795.59427594747206</v>
      </c>
      <c r="T78" s="721"/>
      <c r="U78" s="717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L78" s="355"/>
      <c r="AM78" s="355"/>
      <c r="AN78" s="362"/>
      <c r="AO78" s="355"/>
      <c r="AP78" s="355"/>
      <c r="AQ78" s="355"/>
      <c r="AR78" s="355"/>
      <c r="AS78" s="355"/>
      <c r="AT78" s="355"/>
      <c r="AU78" s="355"/>
      <c r="AV78" s="355"/>
      <c r="AW78" s="355"/>
      <c r="AX78" s="355"/>
      <c r="AY78" s="355"/>
      <c r="AZ78" s="355"/>
      <c r="BA78" s="355"/>
      <c r="BB78" s="355"/>
      <c r="BC78" s="355"/>
      <c r="BD78" s="355"/>
      <c r="BE78" s="355"/>
      <c r="BF78" s="355"/>
      <c r="BG78" s="355"/>
      <c r="BH78" s="378"/>
      <c r="BI78" s="378"/>
      <c r="BJ78" s="378"/>
      <c r="BK78" s="378"/>
      <c r="BL78" s="378"/>
      <c r="BM78" s="378"/>
      <c r="BN78" s="378"/>
      <c r="BO78" s="378"/>
      <c r="BP78" s="378"/>
      <c r="BQ78" s="378"/>
      <c r="BR78" s="378"/>
      <c r="BS78" s="378"/>
      <c r="BT78" s="753" t="str">
        <f t="shared" si="73"/>
        <v/>
      </c>
      <c r="BU78" s="378">
        <f t="shared" si="74"/>
        <v>0</v>
      </c>
      <c r="BV78" s="378"/>
      <c r="BW78" s="378"/>
      <c r="BX78" s="753" t="str">
        <f t="shared" si="75"/>
        <v/>
      </c>
      <c r="BY78" s="378">
        <f t="shared" si="76"/>
        <v>0</v>
      </c>
      <c r="BZ78" s="378"/>
      <c r="CA78" s="355"/>
      <c r="CB78" s="355"/>
      <c r="CC78" s="355"/>
      <c r="CD78" s="355"/>
      <c r="CE78" s="355"/>
      <c r="CF78" s="355"/>
      <c r="CG78" s="355"/>
      <c r="CH78" s="355"/>
      <c r="CI78" s="355"/>
      <c r="CJ78" s="355"/>
      <c r="CK78" s="355"/>
      <c r="CL78" s="355"/>
      <c r="CM78" s="355"/>
      <c r="CN78" s="355"/>
      <c r="CO78" s="355"/>
      <c r="CP78" s="355"/>
      <c r="CQ78" s="355"/>
      <c r="CR78" s="355"/>
    </row>
    <row r="79" spans="1:96" ht="35.25" customHeight="1" x14ac:dyDescent="0.25">
      <c r="A79" s="80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703" t="s">
        <v>12</v>
      </c>
      <c r="P79" s="704">
        <f>AVERAGE(P55:P78)</f>
        <v>5.8333333333333341E-2</v>
      </c>
      <c r="Q79" s="707">
        <v>768.13</v>
      </c>
      <c r="R79" s="704">
        <v>861.88333333333298</v>
      </c>
      <c r="S79" s="704">
        <v>795.59427594747228</v>
      </c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L79" s="355"/>
      <c r="AM79" s="355"/>
      <c r="AN79" s="355"/>
      <c r="AO79" s="355"/>
      <c r="AP79" s="355"/>
      <c r="AQ79" s="355"/>
      <c r="AR79" s="355"/>
      <c r="AS79" s="355"/>
      <c r="AT79" s="355"/>
      <c r="AU79" s="355"/>
      <c r="AV79" s="355"/>
      <c r="AW79" s="355"/>
      <c r="AX79" s="355"/>
      <c r="AY79" s="355"/>
      <c r="AZ79" s="355"/>
      <c r="BA79" s="355"/>
      <c r="BB79" s="355"/>
      <c r="BC79" s="355"/>
      <c r="BD79" s="355"/>
      <c r="BE79" s="355"/>
      <c r="BF79" s="355"/>
      <c r="BG79" s="355"/>
      <c r="BH79" s="378"/>
      <c r="BI79" s="378"/>
      <c r="BJ79" s="378"/>
      <c r="BK79" s="378"/>
      <c r="BL79" s="378"/>
      <c r="BM79" s="378"/>
      <c r="BN79" s="378"/>
      <c r="BO79" s="378"/>
      <c r="BP79" s="378"/>
      <c r="BQ79" s="378"/>
      <c r="BR79" s="378"/>
      <c r="BS79" s="378"/>
      <c r="BT79" s="753" t="str">
        <f t="shared" si="73"/>
        <v/>
      </c>
      <c r="BU79" s="378">
        <f t="shared" si="74"/>
        <v>0</v>
      </c>
      <c r="BV79" s="378"/>
      <c r="BW79" s="378"/>
      <c r="BX79" s="753" t="str">
        <f t="shared" si="75"/>
        <v/>
      </c>
      <c r="BY79" s="378">
        <f t="shared" si="76"/>
        <v>0</v>
      </c>
      <c r="BZ79" s="378"/>
      <c r="CA79" s="355"/>
      <c r="CB79" s="355"/>
      <c r="CC79" s="355"/>
      <c r="CD79" s="355"/>
      <c r="CE79" s="355"/>
      <c r="CF79" s="355"/>
      <c r="CG79" s="355"/>
      <c r="CH79" s="355"/>
      <c r="CI79" s="355"/>
      <c r="CJ79" s="355"/>
      <c r="CK79" s="355"/>
      <c r="CL79" s="355"/>
      <c r="CM79" s="355"/>
      <c r="CN79" s="355"/>
      <c r="CO79" s="355"/>
      <c r="CP79" s="355"/>
      <c r="CQ79" s="355"/>
      <c r="CR79" s="355"/>
    </row>
    <row r="80" spans="1:96" ht="21" customHeight="1" x14ac:dyDescent="0.25">
      <c r="A80" s="80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L80" s="355"/>
      <c r="AM80" s="355"/>
      <c r="AN80" s="355"/>
      <c r="AO80" s="355"/>
      <c r="AP80" s="355"/>
      <c r="AQ80" s="355"/>
      <c r="AR80" s="355"/>
      <c r="AS80" s="355"/>
      <c r="AT80" s="355"/>
      <c r="AU80" s="355"/>
      <c r="AV80" s="355"/>
      <c r="AW80" s="355"/>
      <c r="AX80" s="355"/>
      <c r="AY80" s="355"/>
      <c r="AZ80" s="355"/>
      <c r="BA80" s="355"/>
      <c r="BB80" s="355"/>
      <c r="BC80" s="355"/>
      <c r="BD80" s="355"/>
      <c r="BE80" s="355"/>
      <c r="BF80" s="355"/>
      <c r="BG80" s="355"/>
      <c r="BH80" s="378"/>
      <c r="BI80" s="378"/>
      <c r="BJ80" s="378"/>
      <c r="BK80" s="378"/>
      <c r="BL80" s="378"/>
      <c r="BM80" s="378"/>
      <c r="BN80" s="378"/>
      <c r="BO80" s="378"/>
      <c r="BP80" s="378"/>
      <c r="BQ80" s="378"/>
      <c r="BR80" s="378"/>
      <c r="BS80" s="378"/>
      <c r="BT80" s="753" t="str">
        <f t="shared" si="73"/>
        <v/>
      </c>
      <c r="BU80" s="378">
        <f t="shared" si="74"/>
        <v>0</v>
      </c>
      <c r="BV80" s="378"/>
      <c r="BW80" s="378"/>
      <c r="BX80" s="753" t="str">
        <f t="shared" si="75"/>
        <v/>
      </c>
      <c r="BY80" s="378">
        <f t="shared" si="76"/>
        <v>0</v>
      </c>
      <c r="BZ80" s="378"/>
      <c r="CA80" s="355"/>
      <c r="CB80" s="355"/>
      <c r="CC80" s="355"/>
      <c r="CD80" s="355"/>
      <c r="CE80" s="355"/>
      <c r="CF80" s="355"/>
      <c r="CG80" s="355"/>
      <c r="CH80" s="355"/>
      <c r="CI80" s="355"/>
      <c r="CJ80" s="355"/>
      <c r="CK80" s="355"/>
      <c r="CL80" s="355"/>
      <c r="CM80" s="355"/>
      <c r="CN80" s="355"/>
      <c r="CO80" s="355"/>
      <c r="CP80" s="355"/>
      <c r="CQ80" s="355"/>
      <c r="CR80" s="355"/>
    </row>
    <row r="81" spans="1:96" ht="21" customHeight="1" x14ac:dyDescent="0.25">
      <c r="A81" s="80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J81" s="80"/>
      <c r="AL81" s="355"/>
      <c r="AM81" s="355"/>
      <c r="AN81" s="355"/>
      <c r="AO81" s="355"/>
      <c r="AP81" s="355"/>
      <c r="AQ81" s="355"/>
      <c r="AR81" s="355"/>
      <c r="AS81" s="355"/>
      <c r="AT81" s="355"/>
      <c r="AU81" s="355"/>
      <c r="AV81" s="355"/>
      <c r="AW81" s="355"/>
      <c r="AX81" s="355"/>
      <c r="AY81" s="355"/>
      <c r="AZ81" s="355"/>
      <c r="BA81" s="355"/>
      <c r="BB81" s="355"/>
      <c r="BC81" s="355"/>
      <c r="BD81" s="355"/>
      <c r="BE81" s="355"/>
      <c r="BF81" s="355"/>
      <c r="BG81" s="355"/>
      <c r="BH81" s="355"/>
      <c r="BI81" s="355"/>
      <c r="BJ81" s="355"/>
      <c r="BK81" s="355"/>
      <c r="BL81" s="355"/>
      <c r="BM81" s="355"/>
      <c r="BN81" s="355"/>
      <c r="BO81" s="355"/>
      <c r="BP81" s="355"/>
      <c r="BQ81" s="355"/>
      <c r="BR81" s="355"/>
      <c r="BS81" s="355"/>
      <c r="BT81" s="747" t="str">
        <f t="shared" si="73"/>
        <v/>
      </c>
      <c r="BU81" s="355">
        <f t="shared" si="74"/>
        <v>0</v>
      </c>
      <c r="BV81" s="355"/>
      <c r="BW81" s="355"/>
      <c r="BX81" s="747" t="str">
        <f t="shared" si="75"/>
        <v/>
      </c>
      <c r="BY81" s="355">
        <f t="shared" si="76"/>
        <v>0</v>
      </c>
      <c r="BZ81" s="355"/>
      <c r="CA81" s="355"/>
      <c r="CB81" s="355"/>
      <c r="CC81" s="355"/>
      <c r="CD81" s="355"/>
      <c r="CE81" s="355"/>
      <c r="CF81" s="355"/>
      <c r="CG81" s="355"/>
      <c r="CH81" s="355"/>
      <c r="CI81" s="355"/>
      <c r="CJ81" s="355"/>
      <c r="CK81" s="355"/>
      <c r="CL81" s="355"/>
      <c r="CM81" s="355"/>
      <c r="CN81" s="355"/>
      <c r="CO81" s="355"/>
      <c r="CP81" s="355"/>
      <c r="CQ81" s="355"/>
      <c r="CR81" s="355"/>
    </row>
    <row r="82" spans="1:96" ht="21" customHeight="1" x14ac:dyDescent="0.25">
      <c r="A82" s="80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J82" s="80"/>
      <c r="AL82" s="355"/>
      <c r="AM82" s="355"/>
      <c r="AN82" s="355"/>
      <c r="AO82" s="355"/>
      <c r="AP82" s="355"/>
      <c r="AQ82" s="355"/>
      <c r="AR82" s="355"/>
      <c r="AS82" s="355"/>
      <c r="AT82" s="355"/>
      <c r="AU82" s="355"/>
      <c r="AV82" s="355"/>
      <c r="AW82" s="355"/>
      <c r="AX82" s="355"/>
      <c r="AY82" s="355"/>
      <c r="AZ82" s="355"/>
      <c r="BA82" s="355"/>
      <c r="BB82" s="355"/>
      <c r="BC82" s="355"/>
      <c r="BD82" s="355"/>
      <c r="BE82" s="355"/>
      <c r="BF82" s="355"/>
      <c r="BG82" s="355"/>
      <c r="BH82" s="355"/>
      <c r="BI82" s="355"/>
      <c r="BJ82" s="355"/>
      <c r="BK82" s="355"/>
      <c r="BL82" s="355"/>
      <c r="BM82" s="355"/>
      <c r="BN82" s="355"/>
      <c r="BO82" s="355"/>
      <c r="BP82" s="355"/>
      <c r="BQ82" s="355"/>
      <c r="BR82" s="355"/>
      <c r="BS82" s="355"/>
      <c r="BT82" s="747" t="str">
        <f t="shared" si="73"/>
        <v/>
      </c>
      <c r="BU82" s="355">
        <f t="shared" si="74"/>
        <v>0</v>
      </c>
      <c r="BV82" s="355"/>
      <c r="BW82" s="355"/>
      <c r="BX82" s="747" t="str">
        <f t="shared" si="75"/>
        <v/>
      </c>
      <c r="BY82" s="355">
        <f t="shared" si="76"/>
        <v>0</v>
      </c>
      <c r="BZ82" s="355"/>
      <c r="CA82" s="355"/>
      <c r="CB82" s="355"/>
      <c r="CC82" s="355"/>
      <c r="CD82" s="355"/>
      <c r="CE82" s="355"/>
      <c r="CF82" s="355"/>
      <c r="CG82" s="355"/>
      <c r="CH82" s="355"/>
      <c r="CI82" s="355"/>
      <c r="CJ82" s="355"/>
      <c r="CK82" s="355"/>
      <c r="CL82" s="355"/>
      <c r="CM82" s="355"/>
      <c r="CN82" s="355"/>
      <c r="CO82" s="355"/>
      <c r="CP82" s="355"/>
      <c r="CQ82" s="355"/>
      <c r="CR82" s="355"/>
    </row>
    <row r="83" spans="1:96" ht="21" customHeight="1" x14ac:dyDescent="0.25">
      <c r="A83" s="80"/>
      <c r="B83" s="113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29"/>
      <c r="AL83" s="355"/>
      <c r="AM83" s="355"/>
      <c r="AN83" s="355"/>
      <c r="AO83" s="355"/>
      <c r="AP83" s="355"/>
      <c r="AQ83" s="355"/>
      <c r="AR83" s="355"/>
      <c r="AS83" s="355"/>
      <c r="AT83" s="355"/>
      <c r="AU83" s="355"/>
      <c r="AV83" s="355"/>
      <c r="AW83" s="355"/>
      <c r="AX83" s="355"/>
      <c r="AY83" s="355"/>
      <c r="AZ83" s="355"/>
      <c r="BA83" s="355"/>
      <c r="BB83" s="355"/>
      <c r="BC83" s="355"/>
      <c r="BD83" s="355"/>
      <c r="BE83" s="355"/>
      <c r="BF83" s="355"/>
      <c r="BG83" s="355"/>
      <c r="BH83" s="355"/>
      <c r="BI83" s="355"/>
      <c r="BJ83" s="355"/>
      <c r="BK83" s="355"/>
      <c r="BL83" s="355"/>
      <c r="BM83" s="355"/>
      <c r="BN83" s="355"/>
      <c r="BO83" s="355"/>
      <c r="BP83" s="355"/>
      <c r="BQ83" s="355"/>
      <c r="BR83" s="355"/>
      <c r="BS83" s="355"/>
      <c r="BT83" s="747" t="str">
        <f t="shared" si="73"/>
        <v/>
      </c>
      <c r="BU83" s="355">
        <f t="shared" si="74"/>
        <v>0</v>
      </c>
      <c r="BV83" s="355"/>
      <c r="BW83" s="355"/>
      <c r="BX83" s="747" t="str">
        <f t="shared" si="75"/>
        <v/>
      </c>
      <c r="BY83" s="355">
        <f t="shared" si="76"/>
        <v>0</v>
      </c>
      <c r="BZ83" s="355"/>
      <c r="CA83" s="355"/>
      <c r="CB83" s="355"/>
      <c r="CC83" s="355"/>
      <c r="CD83" s="355"/>
      <c r="CE83" s="355"/>
      <c r="CF83" s="355"/>
      <c r="CG83" s="355"/>
      <c r="CH83" s="355"/>
      <c r="CI83" s="355"/>
      <c r="CJ83" s="355"/>
      <c r="CK83" s="355"/>
      <c r="CL83" s="355"/>
      <c r="CM83" s="355"/>
      <c r="CN83" s="355"/>
      <c r="CO83" s="355"/>
      <c r="CP83" s="355"/>
      <c r="CQ83" s="355"/>
      <c r="CR83" s="355"/>
    </row>
    <row r="84" spans="1:96" ht="21" customHeight="1" x14ac:dyDescent="0.25">
      <c r="A84" s="80"/>
      <c r="B84" s="113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L84" s="355"/>
      <c r="AM84" s="355"/>
      <c r="AN84" s="355"/>
      <c r="AO84" s="355"/>
      <c r="AP84" s="355"/>
      <c r="AQ84" s="355"/>
      <c r="AR84" s="355"/>
      <c r="AS84" s="355"/>
      <c r="AT84" s="355"/>
      <c r="AU84" s="355"/>
      <c r="AV84" s="355"/>
      <c r="AW84" s="355"/>
      <c r="AX84" s="355"/>
      <c r="AY84" s="355"/>
      <c r="AZ84" s="355"/>
      <c r="BA84" s="355"/>
      <c r="BB84" s="355"/>
      <c r="BC84" s="355"/>
      <c r="BD84" s="355"/>
      <c r="BE84" s="355"/>
      <c r="BF84" s="355"/>
      <c r="BG84" s="355"/>
      <c r="BH84" s="355"/>
      <c r="BI84" s="355"/>
      <c r="BJ84" s="355"/>
      <c r="BK84" s="355"/>
      <c r="BL84" s="355"/>
      <c r="BM84" s="355"/>
      <c r="BN84" s="355"/>
      <c r="BO84" s="355"/>
      <c r="BP84" s="355"/>
      <c r="BQ84" s="355"/>
      <c r="BR84" s="355"/>
      <c r="BS84" s="355"/>
      <c r="BT84" s="747" t="str">
        <f t="shared" si="73"/>
        <v/>
      </c>
      <c r="BU84" s="355">
        <f t="shared" si="74"/>
        <v>0</v>
      </c>
      <c r="BV84" s="355"/>
      <c r="BW84" s="355"/>
      <c r="BX84" s="747" t="str">
        <f t="shared" si="75"/>
        <v/>
      </c>
      <c r="BY84" s="355">
        <f t="shared" si="76"/>
        <v>0</v>
      </c>
      <c r="BZ84" s="355"/>
      <c r="CA84" s="355"/>
      <c r="CB84" s="355"/>
      <c r="CC84" s="355"/>
      <c r="CD84" s="355"/>
      <c r="CE84" s="355"/>
      <c r="CF84" s="355"/>
      <c r="CG84" s="355"/>
      <c r="CH84" s="355"/>
      <c r="CI84" s="355"/>
      <c r="CJ84" s="355"/>
      <c r="CK84" s="355"/>
      <c r="CL84" s="355"/>
      <c r="CM84" s="355"/>
      <c r="CN84" s="355"/>
      <c r="CO84" s="355"/>
      <c r="CP84" s="355"/>
      <c r="CQ84" s="355"/>
      <c r="CR84" s="355"/>
    </row>
    <row r="85" spans="1:96" ht="21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AJ85" s="81"/>
      <c r="AL85" s="355"/>
      <c r="AM85" s="355"/>
      <c r="AN85" s="355"/>
      <c r="AO85" s="355"/>
      <c r="AP85" s="355"/>
      <c r="AQ85" s="355"/>
      <c r="AR85" s="355"/>
      <c r="AS85" s="355"/>
      <c r="AT85" s="355"/>
      <c r="AU85" s="355"/>
      <c r="AV85" s="355"/>
      <c r="AW85" s="355"/>
      <c r="AX85" s="355"/>
      <c r="AY85" s="355"/>
      <c r="AZ85" s="355"/>
      <c r="BA85" s="355"/>
      <c r="BB85" s="355"/>
      <c r="BC85" s="355"/>
      <c r="BD85" s="355"/>
      <c r="BE85" s="355"/>
      <c r="BF85" s="355"/>
      <c r="BG85" s="355"/>
      <c r="BH85" s="355"/>
      <c r="BI85" s="355"/>
      <c r="BJ85" s="355"/>
      <c r="BK85" s="355"/>
      <c r="BL85" s="355"/>
      <c r="BM85" s="355"/>
      <c r="BN85" s="355"/>
      <c r="BO85" s="355"/>
      <c r="BP85" s="355"/>
      <c r="BQ85" s="355"/>
      <c r="BR85" s="355"/>
      <c r="BS85" s="355"/>
      <c r="BT85" s="747" t="str">
        <f t="shared" si="73"/>
        <v/>
      </c>
      <c r="BU85" s="355">
        <f t="shared" si="74"/>
        <v>0</v>
      </c>
      <c r="BV85" s="355"/>
      <c r="BW85" s="355"/>
      <c r="BX85" s="747" t="str">
        <f t="shared" si="75"/>
        <v/>
      </c>
      <c r="BY85" s="355">
        <f t="shared" si="76"/>
        <v>0</v>
      </c>
      <c r="BZ85" s="355"/>
      <c r="CA85" s="355"/>
      <c r="CB85" s="355"/>
      <c r="CC85" s="355"/>
      <c r="CD85" s="355"/>
      <c r="CE85" s="355"/>
      <c r="CF85" s="355"/>
      <c r="CG85" s="355"/>
      <c r="CH85" s="355"/>
      <c r="CI85" s="355"/>
      <c r="CJ85" s="355"/>
      <c r="CK85" s="355"/>
      <c r="CL85" s="355"/>
      <c r="CM85" s="355"/>
      <c r="CN85" s="355"/>
      <c r="CO85" s="355"/>
      <c r="CP85" s="355"/>
      <c r="CQ85" s="355"/>
      <c r="CR85" s="355"/>
    </row>
    <row r="86" spans="1:96" ht="21" customHeight="1" x14ac:dyDescent="0.25">
      <c r="B86" s="35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AL86" s="355"/>
      <c r="AM86" s="355"/>
      <c r="AN86" s="355"/>
      <c r="AO86" s="355"/>
      <c r="AP86" s="355"/>
      <c r="AQ86" s="355"/>
      <c r="AR86" s="355"/>
      <c r="AS86" s="355"/>
      <c r="AT86" s="355"/>
      <c r="AU86" s="355"/>
      <c r="AV86" s="355"/>
      <c r="AW86" s="355"/>
      <c r="AX86" s="355"/>
      <c r="AY86" s="355"/>
      <c r="AZ86" s="355"/>
      <c r="BA86" s="355"/>
      <c r="BB86" s="355"/>
      <c r="BC86" s="355"/>
      <c r="BD86" s="355"/>
      <c r="BE86" s="355"/>
      <c r="BF86" s="355"/>
      <c r="BG86" s="355"/>
      <c r="BH86" s="355"/>
      <c r="BI86" s="355"/>
      <c r="BJ86" s="355"/>
      <c r="BK86" s="355"/>
      <c r="BL86" s="355"/>
      <c r="BM86" s="355"/>
      <c r="BN86" s="355"/>
      <c r="BO86" s="355"/>
      <c r="BP86" s="355"/>
      <c r="BQ86" s="355"/>
      <c r="BR86" s="355"/>
      <c r="BS86" s="355"/>
      <c r="BT86" s="747" t="str">
        <f t="shared" si="73"/>
        <v/>
      </c>
      <c r="BU86" s="355">
        <f t="shared" si="74"/>
        <v>0</v>
      </c>
      <c r="BV86" s="355"/>
      <c r="BW86" s="355"/>
      <c r="BX86" s="747" t="str">
        <f t="shared" si="75"/>
        <v/>
      </c>
      <c r="BY86" s="355">
        <f t="shared" si="76"/>
        <v>0</v>
      </c>
      <c r="BZ86" s="355"/>
      <c r="CA86" s="355"/>
      <c r="CB86" s="355"/>
      <c r="CC86" s="355"/>
      <c r="CD86" s="355"/>
      <c r="CE86" s="355"/>
      <c r="CF86" s="355"/>
      <c r="CG86" s="355"/>
      <c r="CH86" s="355"/>
      <c r="CI86" s="355"/>
      <c r="CJ86" s="355"/>
      <c r="CK86" s="355"/>
      <c r="CL86" s="355"/>
      <c r="CM86" s="355"/>
      <c r="CN86" s="355"/>
      <c r="CO86" s="355"/>
      <c r="CP86" s="355"/>
      <c r="CQ86" s="355"/>
      <c r="CR86" s="355"/>
    </row>
    <row r="87" spans="1:96" ht="21" customHeight="1" x14ac:dyDescent="0.25"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AL87" s="355"/>
      <c r="AM87" s="355"/>
      <c r="AN87" s="355"/>
      <c r="AO87" s="355"/>
      <c r="AP87" s="355"/>
      <c r="AQ87" s="355"/>
      <c r="AR87" s="355"/>
      <c r="AS87" s="355"/>
      <c r="AT87" s="355"/>
      <c r="AU87" s="355"/>
      <c r="AV87" s="355"/>
      <c r="AW87" s="355"/>
      <c r="AX87" s="355"/>
      <c r="AY87" s="355"/>
      <c r="AZ87" s="355"/>
      <c r="BA87" s="355"/>
      <c r="BB87" s="355"/>
      <c r="BC87" s="355"/>
      <c r="BD87" s="355"/>
      <c r="BE87" s="355"/>
      <c r="BF87" s="355"/>
      <c r="BG87" s="355"/>
      <c r="BH87" s="355"/>
      <c r="BI87" s="355"/>
      <c r="BJ87" s="355"/>
      <c r="BK87" s="355"/>
      <c r="BL87" s="355"/>
      <c r="BM87" s="355"/>
      <c r="BN87" s="355"/>
      <c r="BO87" s="355"/>
      <c r="BP87" s="355"/>
      <c r="BQ87" s="355"/>
      <c r="BR87" s="355"/>
      <c r="BS87" s="355"/>
      <c r="BT87" s="355"/>
      <c r="BU87" s="355"/>
      <c r="BV87" s="355"/>
      <c r="BW87" s="355"/>
      <c r="BX87" s="355"/>
      <c r="BY87" s="355"/>
      <c r="BZ87" s="355"/>
      <c r="CA87" s="355"/>
      <c r="CB87" s="355"/>
      <c r="CC87" s="355"/>
      <c r="CD87" s="355"/>
      <c r="CE87" s="355"/>
      <c r="CF87" s="355"/>
      <c r="CG87" s="355"/>
      <c r="CH87" s="355"/>
      <c r="CI87" s="355"/>
      <c r="CJ87" s="355"/>
      <c r="CK87" s="355"/>
      <c r="CL87" s="355"/>
      <c r="CM87" s="355"/>
      <c r="CN87" s="355"/>
      <c r="CO87" s="355"/>
      <c r="CP87" s="355"/>
      <c r="CQ87" s="355"/>
      <c r="CR87" s="355"/>
    </row>
    <row r="88" spans="1:96" ht="21" customHeight="1" x14ac:dyDescent="0.25"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AL88" s="355"/>
      <c r="AM88" s="355"/>
      <c r="AN88" s="355"/>
      <c r="AO88" s="355"/>
      <c r="AP88" s="355"/>
      <c r="AQ88" s="355"/>
      <c r="AR88" s="355"/>
      <c r="AS88" s="355"/>
      <c r="AT88" s="355"/>
      <c r="AU88" s="355"/>
      <c r="AV88" s="355"/>
      <c r="AW88" s="355"/>
      <c r="AX88" s="355"/>
      <c r="AY88" s="355"/>
      <c r="AZ88" s="355"/>
      <c r="BA88" s="355"/>
      <c r="BB88" s="355"/>
      <c r="BC88" s="355"/>
      <c r="BD88" s="355"/>
      <c r="BE88" s="355"/>
      <c r="BF88" s="355"/>
      <c r="BG88" s="355"/>
      <c r="BH88" s="355"/>
      <c r="BI88" s="355"/>
      <c r="BJ88" s="355"/>
      <c r="BK88" s="355"/>
      <c r="BL88" s="355"/>
      <c r="BM88" s="355"/>
      <c r="BN88" s="355"/>
      <c r="BO88" s="355"/>
      <c r="BP88" s="355"/>
      <c r="BQ88" s="355"/>
      <c r="BR88" s="355"/>
      <c r="BS88" s="355"/>
      <c r="BT88" s="355"/>
      <c r="BU88" s="355"/>
      <c r="BV88" s="355"/>
      <c r="BW88" s="355"/>
      <c r="BX88" s="355"/>
      <c r="BY88" s="355"/>
      <c r="BZ88" s="355"/>
      <c r="CA88" s="355"/>
      <c r="CB88" s="355"/>
      <c r="CC88" s="355"/>
      <c r="CD88" s="355"/>
      <c r="CE88" s="355"/>
      <c r="CF88" s="355"/>
      <c r="CG88" s="355"/>
      <c r="CH88" s="355"/>
      <c r="CI88" s="355"/>
      <c r="CJ88" s="355"/>
      <c r="CK88" s="355"/>
      <c r="CL88" s="355"/>
      <c r="CM88" s="355"/>
      <c r="CN88" s="355"/>
      <c r="CO88" s="355"/>
      <c r="CP88" s="355"/>
      <c r="CQ88" s="355"/>
      <c r="CR88" s="355"/>
    </row>
    <row r="89" spans="1:96" ht="21" customHeight="1" x14ac:dyDescent="0.25"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</row>
    <row r="90" spans="1:96" ht="21" customHeight="1" x14ac:dyDescent="0.25"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</row>
    <row r="91" spans="1:96" ht="21" customHeight="1" x14ac:dyDescent="0.25"/>
    <row r="92" spans="1:96" ht="21" customHeight="1" x14ac:dyDescent="0.25"/>
  </sheetData>
  <mergeCells count="56">
    <mergeCell ref="A34:C34"/>
    <mergeCell ref="M34:P36"/>
    <mergeCell ref="A35:C35"/>
    <mergeCell ref="A36:C36"/>
    <mergeCell ref="AA8:AH8"/>
    <mergeCell ref="F54:H58"/>
    <mergeCell ref="AC55:AC57"/>
    <mergeCell ref="A39:F39"/>
    <mergeCell ref="A53:E53"/>
    <mergeCell ref="L53:M53"/>
    <mergeCell ref="O53:R53"/>
    <mergeCell ref="U53:X53"/>
    <mergeCell ref="Z53:AB53"/>
    <mergeCell ref="BZ8:CE8"/>
    <mergeCell ref="AJ8:AU8"/>
    <mergeCell ref="AV8:AX8"/>
    <mergeCell ref="A7:B7"/>
    <mergeCell ref="B8:C8"/>
    <mergeCell ref="D8:L8"/>
    <mergeCell ref="M8:P8"/>
    <mergeCell ref="Q8:U8"/>
    <mergeCell ref="AY8:BJ8"/>
    <mergeCell ref="BL8:BQ8"/>
    <mergeCell ref="AU1:AW1"/>
    <mergeCell ref="AX1:AZ1"/>
    <mergeCell ref="BC1:BF1"/>
    <mergeCell ref="AC1:AE1"/>
    <mergeCell ref="AF1:AH1"/>
    <mergeCell ref="AI1:AK1"/>
    <mergeCell ref="AL1:AN1"/>
    <mergeCell ref="AO1:AQ1"/>
    <mergeCell ref="AR1:AT1"/>
    <mergeCell ref="A5:F5"/>
    <mergeCell ref="G5:I5"/>
    <mergeCell ref="J5:K5"/>
    <mergeCell ref="M5:N5"/>
    <mergeCell ref="A2:CR2"/>
    <mergeCell ref="A4:N4"/>
    <mergeCell ref="CP1:CR1"/>
    <mergeCell ref="BI1:BK1"/>
    <mergeCell ref="BL1:BN1"/>
    <mergeCell ref="BO1:BQ1"/>
    <mergeCell ref="BR1:BT1"/>
    <mergeCell ref="BU1:BW1"/>
    <mergeCell ref="BX1:BZ1"/>
    <mergeCell ref="CA1:CC1"/>
    <mergeCell ref="CD1:CF1"/>
    <mergeCell ref="CG1:CI1"/>
    <mergeCell ref="CJ1:CL1"/>
    <mergeCell ref="CM1:CO1"/>
    <mergeCell ref="Z1:AB1"/>
    <mergeCell ref="C1:M1"/>
    <mergeCell ref="N1:P1"/>
    <mergeCell ref="Q1:S1"/>
    <mergeCell ref="T1:V1"/>
    <mergeCell ref="W1:Y1"/>
  </mergeCells>
  <conditionalFormatting sqref="A35 C40:G40 I40:O40">
    <cfRule type="expression" dxfId="14" priority="4">
      <formula>AND(A35&lt;24,A35&lt;&gt;"")</formula>
    </cfRule>
  </conditionalFormatting>
  <conditionalFormatting sqref="CD10:CE33">
    <cfRule type="cellIs" dxfId="13" priority="40" operator="equal">
      <formula>"FORA"</formula>
    </cfRule>
    <cfRule type="cellIs" dxfId="12" priority="41" operator="equal">
      <formula>"ok"</formula>
    </cfRule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{CD66FE62-C83D-41A9-8BCB-58492342261D}</x14:id>
        </ext>
      </extLst>
    </cfRule>
  </conditionalFormatting>
  <dataValidations disablePrompts="1" count="1">
    <dataValidation type="list" allowBlank="1" sqref="CR10:CR33" xr:uid="{AD6070BA-343A-4B67-8446-3108FC38553E}">
      <formula1>"OK,Alarme,Em investigação"</formula1>
    </dataValidation>
  </dataValidations>
  <hyperlinks>
    <hyperlink ref="D7" r:id="rId1" xr:uid="{3E035342-42A2-4F47-B058-0F592D5235F2}"/>
  </hyperlinks>
  <pageMargins left="0.25" right="0.25" top="0.75" bottom="0.75" header="0.3" footer="0.3"/>
  <pageSetup paperSize="8" scale="69" fitToHeight="0" orientation="landscape" r:id="rId2"/>
  <headerFooter>
    <oddHeader>&amp;C&amp;P de &amp;N</oddHeader>
  </headerFooter>
  <colBreaks count="4" manualBreakCount="4">
    <brk id="16" min="2" max="49" man="1"/>
    <brk id="34" min="2" max="49" man="1"/>
    <brk id="47" min="2" max="49" man="1"/>
    <brk id="63" min="2" max="49" man="1"/>
  </colBreaks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66FE62-C83D-41A9-8BCB-5849234226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CD10:CE33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7B1E-653D-4FEB-8024-597DFF8374E2}">
  <sheetPr codeName="Sheet14">
    <tabColor rgb="FFFFC000"/>
  </sheetPr>
  <dimension ref="A1:P37"/>
  <sheetViews>
    <sheetView showGridLines="0" workbookViewId="0">
      <selection activeCell="F26" sqref="F26"/>
    </sheetView>
  </sheetViews>
  <sheetFormatPr defaultRowHeight="15" x14ac:dyDescent="0.25"/>
  <cols>
    <col min="1" max="1" width="10.140625" bestFit="1" customWidth="1"/>
    <col min="6" max="6" width="16.42578125" customWidth="1"/>
    <col min="7" max="7" width="13.5703125" customWidth="1"/>
    <col min="8" max="8" width="12.5703125" customWidth="1"/>
    <col min="9" max="9" width="12" customWidth="1"/>
    <col min="10" max="10" width="12.42578125" customWidth="1"/>
  </cols>
  <sheetData>
    <row r="1" spans="1:12" ht="47.25" x14ac:dyDescent="0.25">
      <c r="A1" s="893" t="s">
        <v>618</v>
      </c>
      <c r="B1" s="622" t="s">
        <v>503</v>
      </c>
      <c r="C1" s="623" t="s">
        <v>632</v>
      </c>
      <c r="D1" s="623" t="s">
        <v>622</v>
      </c>
      <c r="E1" s="623" t="s">
        <v>623</v>
      </c>
      <c r="F1" s="623" t="s">
        <v>633</v>
      </c>
      <c r="G1" s="623" t="s">
        <v>634</v>
      </c>
      <c r="H1" s="623" t="s">
        <v>635</v>
      </c>
      <c r="I1" s="623" t="s">
        <v>628</v>
      </c>
      <c r="J1" s="624" t="s">
        <v>636</v>
      </c>
      <c r="K1" s="625" t="s">
        <v>637</v>
      </c>
      <c r="L1" s="626" t="s">
        <v>638</v>
      </c>
    </row>
    <row r="2" spans="1:12" x14ac:dyDescent="0.25">
      <c r="A2" s="894"/>
      <c r="B2" s="661">
        <f>COUNT(B3:B26)</f>
        <v>24</v>
      </c>
      <c r="C2" s="627">
        <f>AVERAGE(C3:C26)</f>
        <v>8785.6564999999991</v>
      </c>
      <c r="D2" s="627">
        <f>AVERAGE(D3:D26)</f>
        <v>44.791249999999991</v>
      </c>
      <c r="E2" s="627">
        <f t="shared" ref="E2:F2" si="0">AVERAGE(E3:E26)</f>
        <v>0.82620000000000005</v>
      </c>
      <c r="F2" s="627">
        <f>AVERAGE(F3:F26)</f>
        <v>81.179583333333312</v>
      </c>
      <c r="G2" s="627">
        <f>SUM(G3:G26)</f>
        <v>7874.8</v>
      </c>
      <c r="H2" s="627">
        <f t="shared" ref="H2:I2" si="1">SUM(H3:H26)</f>
        <v>757462.3</v>
      </c>
      <c r="I2" s="627">
        <f t="shared" si="1"/>
        <v>625.80949999999996</v>
      </c>
      <c r="J2" s="627">
        <f>SUM(J3:J26)</f>
        <v>33455.5</v>
      </c>
      <c r="K2" s="627">
        <f>AVERAGE(K3:K26)</f>
        <v>2.0333333333333332</v>
      </c>
      <c r="L2" s="627">
        <f>SUM(L3:L26)</f>
        <v>1440</v>
      </c>
    </row>
    <row r="3" spans="1:12" x14ac:dyDescent="0.25">
      <c r="A3" s="724">
        <v>46109</v>
      </c>
      <c r="B3" s="617">
        <v>22</v>
      </c>
      <c r="C3" s="628">
        <v>8832.9500000000007</v>
      </c>
      <c r="D3" s="628">
        <v>52.79</v>
      </c>
      <c r="E3" s="628">
        <v>0.82620000000000005</v>
      </c>
      <c r="F3" s="628">
        <v>77.88</v>
      </c>
      <c r="G3" s="628">
        <v>281.2</v>
      </c>
      <c r="H3" s="728">
        <v>26499.7</v>
      </c>
      <c r="I3" s="628">
        <v>21.893899999999999</v>
      </c>
      <c r="J3" s="628">
        <v>1170.5</v>
      </c>
      <c r="K3" s="628">
        <v>1.01</v>
      </c>
      <c r="L3" s="628">
        <v>60</v>
      </c>
    </row>
    <row r="4" spans="1:12" x14ac:dyDescent="0.25">
      <c r="A4" s="724">
        <v>46109</v>
      </c>
      <c r="B4" s="617">
        <v>23</v>
      </c>
      <c r="C4" s="628">
        <v>8833.7620000000006</v>
      </c>
      <c r="D4" s="628">
        <v>51.52</v>
      </c>
      <c r="E4" s="628">
        <v>0.82620000000000005</v>
      </c>
      <c r="F4" s="628">
        <v>78.45</v>
      </c>
      <c r="G4" s="628">
        <v>247.5</v>
      </c>
      <c r="H4" s="728">
        <v>23501.4</v>
      </c>
      <c r="I4" s="628">
        <v>19.416699999999999</v>
      </c>
      <c r="J4" s="628">
        <v>1038</v>
      </c>
      <c r="K4" s="628">
        <v>0.73</v>
      </c>
      <c r="L4" s="628">
        <v>60</v>
      </c>
    </row>
    <row r="5" spans="1:12" x14ac:dyDescent="0.25">
      <c r="A5" s="724">
        <v>46109</v>
      </c>
      <c r="B5" s="618">
        <v>24</v>
      </c>
      <c r="C5" s="628">
        <v>8830.5310000000009</v>
      </c>
      <c r="D5" s="628">
        <v>50.45</v>
      </c>
      <c r="E5" s="628">
        <v>0.82620000000000005</v>
      </c>
      <c r="F5" s="628">
        <v>78.89</v>
      </c>
      <c r="G5" s="628">
        <v>254.7</v>
      </c>
      <c r="H5" s="728">
        <v>24325.599999999999</v>
      </c>
      <c r="I5" s="628">
        <v>20.0976</v>
      </c>
      <c r="J5" s="628">
        <v>1074.4000000000001</v>
      </c>
      <c r="K5" s="628">
        <v>0.76800000000000002</v>
      </c>
      <c r="L5" s="628">
        <v>60</v>
      </c>
    </row>
    <row r="6" spans="1:12" x14ac:dyDescent="0.25">
      <c r="A6" s="724">
        <v>46110</v>
      </c>
      <c r="B6" s="617">
        <v>1</v>
      </c>
      <c r="C6" s="628">
        <v>8830.42</v>
      </c>
      <c r="D6" s="628">
        <v>48.84</v>
      </c>
      <c r="E6" s="628">
        <v>0.82620000000000005</v>
      </c>
      <c r="F6" s="628">
        <v>79.63</v>
      </c>
      <c r="G6" s="628">
        <v>254.1</v>
      </c>
      <c r="H6" s="728">
        <v>24487.7</v>
      </c>
      <c r="I6" s="628">
        <v>20.2315</v>
      </c>
      <c r="J6" s="628">
        <v>1081.5</v>
      </c>
      <c r="K6" s="628">
        <v>0.77</v>
      </c>
      <c r="L6" s="628">
        <v>60</v>
      </c>
    </row>
    <row r="7" spans="1:12" x14ac:dyDescent="0.25">
      <c r="A7" s="724">
        <v>46110</v>
      </c>
      <c r="B7" s="617">
        <v>2</v>
      </c>
      <c r="C7" s="628">
        <v>8829.82</v>
      </c>
      <c r="D7" s="628">
        <v>47.02</v>
      </c>
      <c r="E7" s="628">
        <v>0.82620000000000005</v>
      </c>
      <c r="F7" s="628">
        <v>80.48</v>
      </c>
      <c r="G7" s="628">
        <v>251.4</v>
      </c>
      <c r="H7" s="728">
        <v>24486.799999999999</v>
      </c>
      <c r="I7" s="628">
        <v>20.230799999999999</v>
      </c>
      <c r="J7" s="628">
        <v>1081.5999999999999</v>
      </c>
      <c r="K7" s="628">
        <v>0.76200000000000001</v>
      </c>
      <c r="L7" s="628">
        <v>60</v>
      </c>
    </row>
    <row r="8" spans="1:12" x14ac:dyDescent="0.25">
      <c r="A8" s="724">
        <v>46110</v>
      </c>
      <c r="B8" s="617">
        <v>3</v>
      </c>
      <c r="C8" s="628">
        <v>8830.2690000000002</v>
      </c>
      <c r="D8" s="628">
        <v>45.28</v>
      </c>
      <c r="E8" s="628">
        <v>0.82620000000000005</v>
      </c>
      <c r="F8" s="628">
        <v>81.319999999999993</v>
      </c>
      <c r="G8" s="628">
        <v>248.3</v>
      </c>
      <c r="H8" s="728">
        <v>24444.799999999999</v>
      </c>
      <c r="I8" s="628">
        <v>20.196200000000001</v>
      </c>
      <c r="J8" s="628">
        <v>1079.5999999999999</v>
      </c>
      <c r="K8" s="628">
        <v>0.752</v>
      </c>
      <c r="L8" s="628">
        <v>60</v>
      </c>
    </row>
    <row r="9" spans="1:12" x14ac:dyDescent="0.25">
      <c r="A9" s="724">
        <v>46110</v>
      </c>
      <c r="B9" s="617">
        <v>4</v>
      </c>
      <c r="C9" s="628">
        <v>8830.2739999999994</v>
      </c>
      <c r="D9" s="628">
        <v>44.03</v>
      </c>
      <c r="E9" s="628">
        <v>0.82620000000000005</v>
      </c>
      <c r="F9" s="628">
        <v>81.94</v>
      </c>
      <c r="G9" s="628">
        <v>247.6</v>
      </c>
      <c r="H9" s="728">
        <v>24555.8</v>
      </c>
      <c r="I9" s="628">
        <v>20.287800000000001</v>
      </c>
      <c r="J9" s="628">
        <v>1084.5999999999999</v>
      </c>
      <c r="K9" s="628">
        <v>0.753</v>
      </c>
      <c r="L9" s="628">
        <v>60</v>
      </c>
    </row>
    <row r="10" spans="1:12" x14ac:dyDescent="0.25">
      <c r="A10" s="724">
        <v>46110</v>
      </c>
      <c r="B10" s="617">
        <v>5</v>
      </c>
      <c r="C10" s="628">
        <v>8829.9779999999992</v>
      </c>
      <c r="D10" s="628">
        <v>43.25</v>
      </c>
      <c r="E10" s="628">
        <v>0.82620000000000005</v>
      </c>
      <c r="F10" s="628">
        <v>82.33</v>
      </c>
      <c r="G10" s="628">
        <v>247.1</v>
      </c>
      <c r="H10" s="728">
        <v>24614.2</v>
      </c>
      <c r="I10" s="628">
        <v>20.335999999999999</v>
      </c>
      <c r="J10" s="628">
        <v>1087.2</v>
      </c>
      <c r="K10" s="628">
        <v>0.753</v>
      </c>
      <c r="L10" s="628">
        <v>60</v>
      </c>
    </row>
    <row r="11" spans="1:12" x14ac:dyDescent="0.25">
      <c r="A11" s="724">
        <v>46110</v>
      </c>
      <c r="B11" s="617">
        <v>6</v>
      </c>
      <c r="C11" s="628">
        <v>8830.2080000000005</v>
      </c>
      <c r="D11" s="628">
        <v>42.74</v>
      </c>
      <c r="E11" s="628">
        <v>0.82620000000000005</v>
      </c>
      <c r="F11" s="628">
        <v>82.59</v>
      </c>
      <c r="G11" s="628">
        <v>246</v>
      </c>
      <c r="H11" s="728">
        <v>24592.6</v>
      </c>
      <c r="I11" s="628">
        <v>20.318200000000001</v>
      </c>
      <c r="J11" s="628">
        <v>1086.2</v>
      </c>
      <c r="K11" s="628">
        <v>0.749</v>
      </c>
      <c r="L11" s="628">
        <v>60</v>
      </c>
    </row>
    <row r="12" spans="1:12" x14ac:dyDescent="0.25">
      <c r="A12" s="724">
        <v>46110</v>
      </c>
      <c r="B12" s="617">
        <v>7</v>
      </c>
      <c r="C12" s="628">
        <v>8829.9889999999996</v>
      </c>
      <c r="D12" s="628">
        <v>42.39</v>
      </c>
      <c r="E12" s="628">
        <v>0.82620000000000005</v>
      </c>
      <c r="F12" s="628">
        <v>82.77</v>
      </c>
      <c r="G12" s="628">
        <v>245.8</v>
      </c>
      <c r="H12" s="728">
        <v>24627.5</v>
      </c>
      <c r="I12" s="628">
        <v>20.347100000000001</v>
      </c>
      <c r="J12" s="628">
        <v>1087.7</v>
      </c>
      <c r="K12" s="628">
        <v>0.75</v>
      </c>
      <c r="L12" s="628">
        <v>60</v>
      </c>
    </row>
    <row r="13" spans="1:12" x14ac:dyDescent="0.25">
      <c r="A13" s="724">
        <v>46110</v>
      </c>
      <c r="B13" s="617">
        <v>8</v>
      </c>
      <c r="C13" s="628">
        <v>8830.4</v>
      </c>
      <c r="D13" s="628">
        <v>42.17</v>
      </c>
      <c r="E13" s="628">
        <v>0.82620000000000005</v>
      </c>
      <c r="F13" s="628">
        <v>82.89</v>
      </c>
      <c r="G13" s="628">
        <v>246.6</v>
      </c>
      <c r="H13" s="728">
        <v>24742.9</v>
      </c>
      <c r="I13" s="628">
        <v>20.442399999999999</v>
      </c>
      <c r="J13" s="628">
        <v>1092.8</v>
      </c>
      <c r="K13" s="628">
        <v>0.75600000000000001</v>
      </c>
      <c r="L13" s="628">
        <v>60</v>
      </c>
    </row>
    <row r="14" spans="1:12" x14ac:dyDescent="0.25">
      <c r="A14" s="724">
        <v>46110</v>
      </c>
      <c r="B14" s="617">
        <v>9</v>
      </c>
      <c r="C14" s="628">
        <v>8827.5720000000001</v>
      </c>
      <c r="D14" s="628">
        <v>42.03</v>
      </c>
      <c r="E14" s="628">
        <v>0.82620000000000005</v>
      </c>
      <c r="F14" s="628">
        <v>82.93</v>
      </c>
      <c r="G14" s="628">
        <v>254.3</v>
      </c>
      <c r="H14" s="728">
        <v>25521.9</v>
      </c>
      <c r="I14" s="628">
        <v>21.085899999999999</v>
      </c>
      <c r="J14" s="628">
        <v>1127.3</v>
      </c>
      <c r="K14" s="628">
        <v>0.84399999999999997</v>
      </c>
      <c r="L14" s="628">
        <v>60</v>
      </c>
    </row>
    <row r="15" spans="1:12" x14ac:dyDescent="0.25">
      <c r="A15" s="724">
        <v>46110</v>
      </c>
      <c r="B15" s="617">
        <v>10</v>
      </c>
      <c r="C15" s="628">
        <v>8830.8009999999995</v>
      </c>
      <c r="D15" s="628">
        <v>42.05</v>
      </c>
      <c r="E15" s="628">
        <v>0.82620000000000005</v>
      </c>
      <c r="F15" s="628">
        <v>82.95</v>
      </c>
      <c r="G15" s="628">
        <v>259.89999999999998</v>
      </c>
      <c r="H15" s="728">
        <v>26098.2</v>
      </c>
      <c r="I15" s="628">
        <v>21.562200000000001</v>
      </c>
      <c r="J15" s="628">
        <v>1152.7</v>
      </c>
      <c r="K15" s="628">
        <v>0.84299999999999997</v>
      </c>
      <c r="L15" s="628">
        <v>60</v>
      </c>
    </row>
    <row r="16" spans="1:12" x14ac:dyDescent="0.25">
      <c r="A16" s="724">
        <v>46110</v>
      </c>
      <c r="B16" s="617">
        <v>11</v>
      </c>
      <c r="C16" s="628">
        <v>8815.3189999999995</v>
      </c>
      <c r="D16" s="628">
        <v>41.87</v>
      </c>
      <c r="E16" s="628">
        <v>0.82620000000000005</v>
      </c>
      <c r="F16" s="628">
        <v>82.88</v>
      </c>
      <c r="G16" s="628">
        <v>248</v>
      </c>
      <c r="H16" s="728">
        <v>24879.9</v>
      </c>
      <c r="I16" s="628">
        <v>20.555599999999998</v>
      </c>
      <c r="J16" s="628">
        <v>1098.9000000000001</v>
      </c>
      <c r="K16" s="628">
        <v>0.81399999999999995</v>
      </c>
      <c r="L16" s="628">
        <v>60</v>
      </c>
    </row>
    <row r="17" spans="1:16" x14ac:dyDescent="0.25">
      <c r="A17" s="724">
        <v>46110</v>
      </c>
      <c r="B17" s="617">
        <v>12</v>
      </c>
      <c r="C17" s="628">
        <v>8830.268</v>
      </c>
      <c r="D17" s="628">
        <v>41.83</v>
      </c>
      <c r="E17" s="628">
        <v>0.82620000000000005</v>
      </c>
      <c r="F17" s="628">
        <v>83.06</v>
      </c>
      <c r="G17" s="628">
        <v>246.2</v>
      </c>
      <c r="H17" s="728">
        <v>24750.1</v>
      </c>
      <c r="I17" s="628">
        <v>20.4483</v>
      </c>
      <c r="J17" s="628">
        <v>1093.0999999999999</v>
      </c>
      <c r="K17" s="628">
        <v>0.755</v>
      </c>
      <c r="L17" s="628">
        <v>60</v>
      </c>
    </row>
    <row r="18" spans="1:16" x14ac:dyDescent="0.25">
      <c r="A18" s="724">
        <v>46110</v>
      </c>
      <c r="B18" s="617">
        <v>13</v>
      </c>
      <c r="C18" s="628">
        <v>8830.143</v>
      </c>
      <c r="D18" s="628">
        <v>41.8</v>
      </c>
      <c r="E18" s="628">
        <v>0.82620000000000005</v>
      </c>
      <c r="F18" s="628">
        <v>83.07</v>
      </c>
      <c r="G18" s="628">
        <v>246.2</v>
      </c>
      <c r="H18" s="728">
        <v>24755.5</v>
      </c>
      <c r="I18" s="628">
        <v>20.4528</v>
      </c>
      <c r="J18" s="628">
        <v>1093.4000000000001</v>
      </c>
      <c r="K18" s="628">
        <v>0.755</v>
      </c>
      <c r="L18" s="628">
        <v>60</v>
      </c>
      <c r="O18" t="s">
        <v>639</v>
      </c>
    </row>
    <row r="19" spans="1:16" x14ac:dyDescent="0.25">
      <c r="A19" s="724">
        <v>46110</v>
      </c>
      <c r="B19" s="617">
        <v>14</v>
      </c>
      <c r="C19" s="628">
        <v>8829.7929999999997</v>
      </c>
      <c r="D19" s="628">
        <v>41.78</v>
      </c>
      <c r="E19" s="628">
        <v>0.82620000000000005</v>
      </c>
      <c r="F19" s="628">
        <v>83.08</v>
      </c>
      <c r="G19" s="628">
        <v>246.5</v>
      </c>
      <c r="H19" s="728">
        <v>24786.9</v>
      </c>
      <c r="I19" s="628">
        <v>20.4787</v>
      </c>
      <c r="J19" s="628">
        <v>1094.8</v>
      </c>
      <c r="K19" s="628">
        <v>0.75600000000000001</v>
      </c>
      <c r="L19" s="628">
        <v>60</v>
      </c>
    </row>
    <row r="20" spans="1:16" x14ac:dyDescent="0.25">
      <c r="A20" s="724">
        <v>46110</v>
      </c>
      <c r="B20" s="617">
        <v>15</v>
      </c>
      <c r="C20" s="628">
        <v>8829.6299999999992</v>
      </c>
      <c r="D20" s="628">
        <v>41.77</v>
      </c>
      <c r="E20" s="628">
        <v>0.82620000000000005</v>
      </c>
      <c r="F20" s="628">
        <v>83.08</v>
      </c>
      <c r="G20" s="628">
        <v>246</v>
      </c>
      <c r="H20" s="728">
        <v>24743.1</v>
      </c>
      <c r="I20" s="628">
        <v>20.442599999999999</v>
      </c>
      <c r="J20" s="628">
        <v>1092.9000000000001</v>
      </c>
      <c r="K20" s="628">
        <v>0.754</v>
      </c>
      <c r="L20" s="628">
        <v>60</v>
      </c>
    </row>
    <row r="21" spans="1:16" x14ac:dyDescent="0.25">
      <c r="A21" s="724">
        <v>46110</v>
      </c>
      <c r="B21" s="617">
        <v>16</v>
      </c>
      <c r="C21" s="628">
        <v>8829.9959999999992</v>
      </c>
      <c r="D21" s="628">
        <v>41.8</v>
      </c>
      <c r="E21" s="628">
        <v>0.82620000000000005</v>
      </c>
      <c r="F21" s="628">
        <v>83.08</v>
      </c>
      <c r="G21" s="628">
        <v>245.4</v>
      </c>
      <c r="H21" s="728">
        <v>24670.7</v>
      </c>
      <c r="I21" s="628">
        <v>20.3827</v>
      </c>
      <c r="J21" s="628">
        <v>1089.5999999999999</v>
      </c>
      <c r="K21" s="628">
        <v>0.75</v>
      </c>
      <c r="L21" s="628">
        <v>60</v>
      </c>
    </row>
    <row r="22" spans="1:16" x14ac:dyDescent="0.25">
      <c r="A22" s="724">
        <v>46110</v>
      </c>
      <c r="B22" s="617">
        <v>17</v>
      </c>
      <c r="C22" s="628">
        <v>8745.9770000000008</v>
      </c>
      <c r="D22" s="628">
        <v>41.74</v>
      </c>
      <c r="E22" s="628">
        <v>0.82620000000000005</v>
      </c>
      <c r="F22" s="628">
        <v>82.18</v>
      </c>
      <c r="G22" s="628">
        <v>250.3</v>
      </c>
      <c r="H22" s="728">
        <v>24893.8</v>
      </c>
      <c r="I22" s="628">
        <v>20.5671</v>
      </c>
      <c r="J22" s="628">
        <v>1099.5</v>
      </c>
      <c r="K22" s="628">
        <v>0.83299999999999996</v>
      </c>
      <c r="L22" s="628">
        <v>60</v>
      </c>
    </row>
    <row r="23" spans="1:16" x14ac:dyDescent="0.25">
      <c r="A23" s="724">
        <v>46110</v>
      </c>
      <c r="B23" s="617">
        <v>18</v>
      </c>
      <c r="C23" s="628">
        <v>8826.1479999999992</v>
      </c>
      <c r="D23" s="628">
        <v>41.86</v>
      </c>
      <c r="E23" s="628">
        <v>0.82620000000000005</v>
      </c>
      <c r="F23" s="628">
        <v>83</v>
      </c>
      <c r="G23" s="628">
        <v>247.3</v>
      </c>
      <c r="H23" s="728">
        <v>24848.2</v>
      </c>
      <c r="I23" s="628">
        <v>20.529399999999999</v>
      </c>
      <c r="J23" s="628">
        <v>1097.5</v>
      </c>
      <c r="K23" s="628">
        <v>0.77</v>
      </c>
      <c r="L23" s="628">
        <v>60</v>
      </c>
    </row>
    <row r="24" spans="1:16" x14ac:dyDescent="0.25">
      <c r="A24" s="724">
        <v>46110</v>
      </c>
      <c r="B24" s="617">
        <v>19</v>
      </c>
      <c r="C24" s="628">
        <v>8694.7939999999999</v>
      </c>
      <c r="D24" s="628">
        <v>41.41</v>
      </c>
      <c r="E24" s="628">
        <v>0.82620000000000005</v>
      </c>
      <c r="F24" s="628">
        <v>81.790000000000006</v>
      </c>
      <c r="G24" s="628">
        <v>306.60000000000002</v>
      </c>
      <c r="H24" s="728">
        <v>30351.4</v>
      </c>
      <c r="I24" s="628">
        <v>25.0761</v>
      </c>
      <c r="J24" s="628">
        <v>1340.6</v>
      </c>
      <c r="K24" s="628">
        <v>1.5920000000000001</v>
      </c>
      <c r="L24" s="628">
        <v>60</v>
      </c>
    </row>
    <row r="25" spans="1:16" x14ac:dyDescent="0.25">
      <c r="A25" s="724">
        <v>46110</v>
      </c>
      <c r="B25" s="617">
        <v>20</v>
      </c>
      <c r="C25" s="628">
        <v>8418.884</v>
      </c>
      <c r="D25" s="628">
        <v>46.85</v>
      </c>
      <c r="E25" s="628">
        <v>0.82620000000000005</v>
      </c>
      <c r="F25" s="628">
        <v>76.3</v>
      </c>
      <c r="G25" s="628">
        <v>1065</v>
      </c>
      <c r="H25" s="728">
        <v>98361.9</v>
      </c>
      <c r="I25" s="628">
        <v>81.265799999999999</v>
      </c>
      <c r="J25" s="628">
        <v>4344.3999999999996</v>
      </c>
      <c r="K25" s="628">
        <v>14.042999999999999</v>
      </c>
      <c r="L25" s="628">
        <v>60</v>
      </c>
    </row>
    <row r="26" spans="1:16" s="9" customFormat="1" x14ac:dyDescent="0.25">
      <c r="A26" s="725">
        <v>46110</v>
      </c>
      <c r="B26" s="618">
        <v>21</v>
      </c>
      <c r="C26" s="629">
        <v>8407.83</v>
      </c>
      <c r="D26" s="629">
        <v>57.72</v>
      </c>
      <c r="E26" s="629">
        <v>0.82620000000000005</v>
      </c>
      <c r="F26" s="629">
        <v>71.739999999999995</v>
      </c>
      <c r="G26" s="629">
        <v>1242.8</v>
      </c>
      <c r="H26" s="729">
        <v>107921.7</v>
      </c>
      <c r="I26" s="629">
        <v>89.164100000000005</v>
      </c>
      <c r="J26" s="629">
        <v>4766.7</v>
      </c>
      <c r="K26" s="629">
        <v>16.738</v>
      </c>
      <c r="L26" s="629">
        <v>60</v>
      </c>
    </row>
    <row r="27" spans="1:16" s="9" customFormat="1" x14ac:dyDescent="0.25">
      <c r="A27" s="725"/>
      <c r="B27" s="726"/>
      <c r="C27" s="726"/>
      <c r="D27" s="726"/>
      <c r="E27" s="726"/>
      <c r="F27" s="726"/>
      <c r="G27" s="726"/>
      <c r="H27" s="726"/>
      <c r="I27" s="726"/>
      <c r="J27" s="726"/>
      <c r="K27" s="726"/>
      <c r="L27" s="726"/>
    </row>
    <row r="28" spans="1:16" s="9" customFormat="1" x14ac:dyDescent="0.25">
      <c r="A28" s="725"/>
      <c r="B28" s="726"/>
      <c r="C28" s="726"/>
      <c r="D28" s="726"/>
      <c r="E28" s="726"/>
      <c r="F28" s="726"/>
      <c r="G28" s="726"/>
      <c r="H28" s="726"/>
      <c r="I28" s="726"/>
      <c r="J28" s="726"/>
      <c r="K28" s="726"/>
      <c r="L28" s="726"/>
    </row>
    <row r="29" spans="1:16" s="9" customFormat="1" x14ac:dyDescent="0.25">
      <c r="A29" s="725"/>
      <c r="B29" s="726"/>
      <c r="C29" s="726"/>
      <c r="D29" s="726"/>
      <c r="E29" s="726"/>
      <c r="F29" s="726">
        <v>28</v>
      </c>
      <c r="G29" s="726"/>
      <c r="H29" s="726"/>
      <c r="I29" s="726"/>
      <c r="J29" s="726"/>
      <c r="K29" s="726"/>
      <c r="L29" s="726"/>
    </row>
    <row r="30" spans="1:16" s="9" customFormat="1" x14ac:dyDescent="0.25">
      <c r="F30" s="661">
        <v>29</v>
      </c>
      <c r="G30" s="627">
        <v>8785.6564999999991</v>
      </c>
      <c r="H30" s="627">
        <v>44.791249999999991</v>
      </c>
      <c r="I30" s="627">
        <v>0.82620000000000005</v>
      </c>
      <c r="J30" s="627">
        <v>81.179583333333312</v>
      </c>
      <c r="K30" s="627">
        <v>7874.8</v>
      </c>
      <c r="L30" s="627">
        <v>757462.3</v>
      </c>
      <c r="M30" s="627">
        <v>625.80949999999996</v>
      </c>
      <c r="N30" s="627">
        <v>33455.5</v>
      </c>
      <c r="O30" s="627">
        <v>2.0333333333333332</v>
      </c>
      <c r="P30" s="627">
        <v>1440</v>
      </c>
    </row>
    <row r="31" spans="1:16" s="9" customFormat="1" x14ac:dyDescent="0.25">
      <c r="F31" s="9">
        <v>30</v>
      </c>
    </row>
    <row r="33" spans="2:12" ht="15.75" thickBot="1" x14ac:dyDescent="0.3"/>
    <row r="34" spans="2:12" ht="47.25" x14ac:dyDescent="0.25">
      <c r="C34" s="623" t="s">
        <v>632</v>
      </c>
      <c r="D34" s="623" t="s">
        <v>622</v>
      </c>
      <c r="E34" s="623" t="s">
        <v>623</v>
      </c>
      <c r="F34" s="623" t="s">
        <v>633</v>
      </c>
      <c r="G34" s="623" t="s">
        <v>634</v>
      </c>
      <c r="H34" s="623" t="s">
        <v>635</v>
      </c>
      <c r="I34" s="623" t="s">
        <v>628</v>
      </c>
      <c r="J34" s="624" t="s">
        <v>636</v>
      </c>
      <c r="K34" s="625" t="s">
        <v>637</v>
      </c>
      <c r="L34" s="626" t="s">
        <v>638</v>
      </c>
    </row>
    <row r="35" spans="2:12" x14ac:dyDescent="0.25">
      <c r="B35" s="741">
        <v>46109</v>
      </c>
      <c r="C35" s="12">
        <v>8543.7673750000013</v>
      </c>
      <c r="D35" s="12">
        <v>60.322916666666657</v>
      </c>
      <c r="E35" s="12">
        <v>0.82620000000000005</v>
      </c>
      <c r="F35" s="12">
        <v>72.125</v>
      </c>
      <c r="G35" s="12">
        <v>17196.5</v>
      </c>
      <c r="H35" s="12">
        <v>1478946.3</v>
      </c>
      <c r="I35" s="12">
        <v>1221.8939</v>
      </c>
      <c r="J35" s="12">
        <v>65321.8</v>
      </c>
      <c r="K35" s="12">
        <v>1413.7</v>
      </c>
      <c r="L35" s="12">
        <v>1413.7</v>
      </c>
    </row>
    <row r="36" spans="2:12" x14ac:dyDescent="0.25">
      <c r="B36" s="741">
        <v>46110</v>
      </c>
      <c r="C36" s="627">
        <v>8735.9728749999995</v>
      </c>
      <c r="D36" s="627">
        <v>46.479166666666657</v>
      </c>
      <c r="E36" s="627">
        <v>0.82620000000000005</v>
      </c>
      <c r="F36" s="627">
        <v>80.046666666666667</v>
      </c>
      <c r="G36" s="627">
        <v>11154.9</v>
      </c>
      <c r="H36" s="627">
        <v>1024079.8</v>
      </c>
      <c r="I36" s="627">
        <v>846.08680000000004</v>
      </c>
      <c r="J36" s="627">
        <v>45231.3</v>
      </c>
      <c r="K36" s="627">
        <v>1440</v>
      </c>
      <c r="L36" s="627">
        <v>1440</v>
      </c>
    </row>
    <row r="37" spans="2:12" x14ac:dyDescent="0.25">
      <c r="B37" s="741">
        <v>46111</v>
      </c>
      <c r="C37" s="627">
        <v>5248.2913749999998</v>
      </c>
      <c r="D37" s="627">
        <v>38.747916666666669</v>
      </c>
      <c r="E37" s="627">
        <v>0.55080000000000007</v>
      </c>
      <c r="F37" s="627">
        <v>44.828750000000007</v>
      </c>
      <c r="G37" s="627">
        <v>15499</v>
      </c>
      <c r="H37" s="627">
        <v>1294042.8</v>
      </c>
      <c r="I37" s="627">
        <v>1069.1279999999999</v>
      </c>
      <c r="J37" s="627">
        <v>57155</v>
      </c>
      <c r="K37" s="627">
        <v>783.8</v>
      </c>
      <c r="L37" s="627">
        <v>783.8</v>
      </c>
    </row>
  </sheetData>
  <mergeCells count="1">
    <mergeCell ref="A1:A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84818-A352-45FD-BB2A-A0F235F021E6}">
  <sheetPr codeName="Sheet15">
    <tabColor theme="3" tint="0.39997558519241921"/>
  </sheetPr>
  <dimension ref="A1:N32"/>
  <sheetViews>
    <sheetView showGridLines="0" workbookViewId="0">
      <selection activeCell="J3" sqref="J3:J26"/>
    </sheetView>
  </sheetViews>
  <sheetFormatPr defaultRowHeight="15" x14ac:dyDescent="0.25"/>
  <sheetData>
    <row r="1" spans="1:14" ht="47.25" x14ac:dyDescent="0.25">
      <c r="A1" s="895" t="s">
        <v>618</v>
      </c>
      <c r="B1" s="895" t="s">
        <v>619</v>
      </c>
      <c r="C1" s="630" t="s">
        <v>620</v>
      </c>
      <c r="D1" s="630" t="s">
        <v>622</v>
      </c>
      <c r="E1" s="630" t="s">
        <v>623</v>
      </c>
      <c r="F1" s="630" t="s">
        <v>624</v>
      </c>
      <c r="G1" s="630" t="s">
        <v>625</v>
      </c>
      <c r="H1" s="630" t="s">
        <v>626</v>
      </c>
      <c r="I1" s="630" t="s">
        <v>627</v>
      </c>
      <c r="J1" s="630" t="s">
        <v>628</v>
      </c>
      <c r="K1" s="630" t="s">
        <v>629</v>
      </c>
      <c r="L1" s="630" t="s">
        <v>398</v>
      </c>
      <c r="M1" s="631" t="s">
        <v>630</v>
      </c>
      <c r="N1" s="621" t="s">
        <v>631</v>
      </c>
    </row>
    <row r="2" spans="1:14" x14ac:dyDescent="0.25">
      <c r="A2" s="896"/>
      <c r="B2" s="896"/>
      <c r="C2" s="632">
        <f>AVERAGE(C3:C26)</f>
        <v>97.14533333333334</v>
      </c>
      <c r="D2" s="632">
        <f t="shared" ref="D2:F2" si="0">AVERAGE(D3:D26)</f>
        <v>30</v>
      </c>
      <c r="E2" s="632">
        <f t="shared" si="0"/>
        <v>998.20000000000039</v>
      </c>
      <c r="F2" s="632">
        <f t="shared" si="0"/>
        <v>995.70000000000039</v>
      </c>
      <c r="G2" s="632">
        <f>SUM(G3:G26)</f>
        <v>35.914000000000001</v>
      </c>
      <c r="H2" s="632">
        <f t="shared" ref="H2:I2" si="1">SUM(H3:H26)</f>
        <v>35.758000000000003</v>
      </c>
      <c r="I2" s="632">
        <f t="shared" si="1"/>
        <v>35.667999999999992</v>
      </c>
      <c r="J2" s="632">
        <f>SUM(J3:J26)</f>
        <v>35.60499999999999</v>
      </c>
      <c r="K2" s="632">
        <f>SUM(K3:K26)</f>
        <v>35.667999999999992</v>
      </c>
      <c r="L2" s="632">
        <v>0</v>
      </c>
      <c r="M2" s="632">
        <f>AVERAGE(M3:M26)</f>
        <v>1</v>
      </c>
      <c r="N2" s="730">
        <f>AVERAGE(N3:N26)</f>
        <v>0.99746299999999988</v>
      </c>
    </row>
    <row r="3" spans="1:14" x14ac:dyDescent="0.25">
      <c r="A3" s="724">
        <v>46109</v>
      </c>
      <c r="B3" s="633">
        <v>22</v>
      </c>
      <c r="C3" s="633">
        <v>101.325</v>
      </c>
      <c r="D3" s="633">
        <v>30</v>
      </c>
      <c r="E3" s="633">
        <v>998.2</v>
      </c>
      <c r="F3" s="633">
        <v>995.7</v>
      </c>
      <c r="G3" s="633">
        <v>1.569</v>
      </c>
      <c r="H3" s="633">
        <v>1.5629999999999999</v>
      </c>
      <c r="I3" s="633">
        <v>1.5589999999999999</v>
      </c>
      <c r="J3" s="633">
        <v>1.556</v>
      </c>
      <c r="K3" s="633">
        <v>1.5589999999999999</v>
      </c>
      <c r="L3" s="633">
        <v>0</v>
      </c>
      <c r="M3" s="633">
        <v>1</v>
      </c>
      <c r="N3" s="633">
        <v>0.99746299999999999</v>
      </c>
    </row>
    <row r="4" spans="1:14" x14ac:dyDescent="0.25">
      <c r="A4" s="724">
        <v>46109</v>
      </c>
      <c r="B4" s="633">
        <v>23</v>
      </c>
      <c r="C4" s="633">
        <v>101.325</v>
      </c>
      <c r="D4" s="633">
        <v>30</v>
      </c>
      <c r="E4" s="633">
        <v>998.2</v>
      </c>
      <c r="F4" s="633">
        <v>995.7</v>
      </c>
      <c r="G4" s="633">
        <v>1.456</v>
      </c>
      <c r="H4" s="633">
        <v>1.4490000000000001</v>
      </c>
      <c r="I4" s="633">
        <v>1.4450000000000001</v>
      </c>
      <c r="J4" s="633">
        <v>1.4430000000000001</v>
      </c>
      <c r="K4" s="633">
        <v>1.4450000000000001</v>
      </c>
      <c r="L4" s="633">
        <v>0</v>
      </c>
      <c r="M4" s="633">
        <v>1</v>
      </c>
      <c r="N4" s="633">
        <v>0.99746299999999999</v>
      </c>
    </row>
    <row r="5" spans="1:14" x14ac:dyDescent="0.25">
      <c r="A5" s="724">
        <v>46109</v>
      </c>
      <c r="B5" s="634">
        <v>24</v>
      </c>
      <c r="C5" s="634">
        <v>101.325</v>
      </c>
      <c r="D5" s="634">
        <v>30</v>
      </c>
      <c r="E5" s="634">
        <v>998.2</v>
      </c>
      <c r="F5" s="634">
        <v>995.7</v>
      </c>
      <c r="G5" s="634">
        <v>1.2529999999999999</v>
      </c>
      <c r="H5" s="634">
        <v>1.2470000000000001</v>
      </c>
      <c r="I5" s="634">
        <v>1.244</v>
      </c>
      <c r="J5" s="634">
        <v>1.242</v>
      </c>
      <c r="K5" s="634">
        <v>1.244</v>
      </c>
      <c r="L5" s="634">
        <v>0</v>
      </c>
      <c r="M5" s="634">
        <v>1</v>
      </c>
      <c r="N5" s="634">
        <v>0.99746299999999999</v>
      </c>
    </row>
    <row r="6" spans="1:14" x14ac:dyDescent="0.25">
      <c r="A6" s="724">
        <v>46110</v>
      </c>
      <c r="B6" s="633">
        <v>1</v>
      </c>
      <c r="C6" s="633">
        <v>101.325</v>
      </c>
      <c r="D6" s="633">
        <v>30</v>
      </c>
      <c r="E6" s="633">
        <v>998.2</v>
      </c>
      <c r="F6" s="633">
        <v>995.7</v>
      </c>
      <c r="G6" s="633">
        <v>1.105</v>
      </c>
      <c r="H6" s="633">
        <v>1.101</v>
      </c>
      <c r="I6" s="633">
        <v>1.0980000000000001</v>
      </c>
      <c r="J6" s="633">
        <v>1.0960000000000001</v>
      </c>
      <c r="K6" s="633">
        <v>1.0980000000000001</v>
      </c>
      <c r="L6" s="633">
        <v>0</v>
      </c>
      <c r="M6" s="633">
        <v>1</v>
      </c>
      <c r="N6" s="633">
        <v>0.99746299999999999</v>
      </c>
    </row>
    <row r="7" spans="1:14" x14ac:dyDescent="0.25">
      <c r="A7" s="724">
        <v>46110</v>
      </c>
      <c r="B7" s="633">
        <v>2</v>
      </c>
      <c r="C7" s="633">
        <v>101.325</v>
      </c>
      <c r="D7" s="633">
        <v>30</v>
      </c>
      <c r="E7" s="633">
        <v>998.2</v>
      </c>
      <c r="F7" s="633">
        <v>995.7</v>
      </c>
      <c r="G7" s="633">
        <v>1.1319999999999999</v>
      </c>
      <c r="H7" s="633">
        <v>1.127</v>
      </c>
      <c r="I7" s="633">
        <v>1.125</v>
      </c>
      <c r="J7" s="633">
        <v>1.123</v>
      </c>
      <c r="K7" s="633">
        <v>1.125</v>
      </c>
      <c r="L7" s="633">
        <v>0</v>
      </c>
      <c r="M7" s="633">
        <v>1</v>
      </c>
      <c r="N7" s="633">
        <v>0.99746299999999999</v>
      </c>
    </row>
    <row r="8" spans="1:14" x14ac:dyDescent="0.25">
      <c r="A8" s="724">
        <v>46110</v>
      </c>
      <c r="B8" s="633">
        <v>3</v>
      </c>
      <c r="C8" s="633">
        <v>101.325</v>
      </c>
      <c r="D8" s="633">
        <v>30</v>
      </c>
      <c r="E8" s="633">
        <v>998.2</v>
      </c>
      <c r="F8" s="633">
        <v>995.7</v>
      </c>
      <c r="G8" s="633">
        <v>1.0680000000000001</v>
      </c>
      <c r="H8" s="633">
        <v>1.0629999999999999</v>
      </c>
      <c r="I8" s="633">
        <v>1.06</v>
      </c>
      <c r="J8" s="633">
        <v>1.0580000000000001</v>
      </c>
      <c r="K8" s="633">
        <v>1.06</v>
      </c>
      <c r="L8" s="633">
        <v>0</v>
      </c>
      <c r="M8" s="633">
        <v>1</v>
      </c>
      <c r="N8" s="633">
        <v>0.99746299999999999</v>
      </c>
    </row>
    <row r="9" spans="1:14" x14ac:dyDescent="0.25">
      <c r="A9" s="724">
        <v>46110</v>
      </c>
      <c r="B9" s="633">
        <v>4</v>
      </c>
      <c r="C9" s="633">
        <v>101.325</v>
      </c>
      <c r="D9" s="633">
        <v>30</v>
      </c>
      <c r="E9" s="633">
        <v>998.2</v>
      </c>
      <c r="F9" s="633">
        <v>995.7</v>
      </c>
      <c r="G9" s="633">
        <v>1.002</v>
      </c>
      <c r="H9" s="633">
        <v>0.997</v>
      </c>
      <c r="I9" s="633">
        <v>0.995</v>
      </c>
      <c r="J9" s="633">
        <v>0.99299999999999999</v>
      </c>
      <c r="K9" s="633">
        <v>0.995</v>
      </c>
      <c r="L9" s="633">
        <v>0</v>
      </c>
      <c r="M9" s="633">
        <v>1</v>
      </c>
      <c r="N9" s="633">
        <v>0.99746299999999999</v>
      </c>
    </row>
    <row r="10" spans="1:14" x14ac:dyDescent="0.25">
      <c r="A10" s="724">
        <v>46110</v>
      </c>
      <c r="B10" s="633">
        <v>5</v>
      </c>
      <c r="C10" s="633">
        <v>101.325</v>
      </c>
      <c r="D10" s="633">
        <v>30</v>
      </c>
      <c r="E10" s="633">
        <v>998.2</v>
      </c>
      <c r="F10" s="633">
        <v>995.7</v>
      </c>
      <c r="G10" s="633">
        <v>0.94599999999999995</v>
      </c>
      <c r="H10" s="633">
        <v>0.94199999999999995</v>
      </c>
      <c r="I10" s="633">
        <v>0.93899999999999995</v>
      </c>
      <c r="J10" s="633">
        <v>0.93799999999999994</v>
      </c>
      <c r="K10" s="633">
        <v>0.93899999999999995</v>
      </c>
      <c r="L10" s="633">
        <v>0</v>
      </c>
      <c r="M10" s="633">
        <v>1</v>
      </c>
      <c r="N10" s="633">
        <v>0.99746299999999999</v>
      </c>
    </row>
    <row r="11" spans="1:14" x14ac:dyDescent="0.25">
      <c r="A11" s="724">
        <v>46110</v>
      </c>
      <c r="B11" s="633">
        <v>6</v>
      </c>
      <c r="C11" s="633">
        <v>101.325</v>
      </c>
      <c r="D11" s="633">
        <v>30</v>
      </c>
      <c r="E11" s="633">
        <v>998.2</v>
      </c>
      <c r="F11" s="633">
        <v>995.7</v>
      </c>
      <c r="G11" s="633">
        <v>0.91800000000000004</v>
      </c>
      <c r="H11" s="633">
        <v>0.91400000000000003</v>
      </c>
      <c r="I11" s="633">
        <v>0.91200000000000003</v>
      </c>
      <c r="J11" s="633">
        <v>0.91</v>
      </c>
      <c r="K11" s="633">
        <v>0.91200000000000003</v>
      </c>
      <c r="L11" s="633">
        <v>0</v>
      </c>
      <c r="M11" s="633">
        <v>1</v>
      </c>
      <c r="N11" s="633">
        <v>0.99746299999999999</v>
      </c>
    </row>
    <row r="12" spans="1:14" x14ac:dyDescent="0.25">
      <c r="A12" s="724">
        <v>46110</v>
      </c>
      <c r="B12" s="633">
        <v>7</v>
      </c>
      <c r="C12" s="633">
        <v>101.325</v>
      </c>
      <c r="D12" s="633">
        <v>30</v>
      </c>
      <c r="E12" s="633">
        <v>998.2</v>
      </c>
      <c r="F12" s="633">
        <v>995.7</v>
      </c>
      <c r="G12" s="633">
        <v>1.0049999999999999</v>
      </c>
      <c r="H12" s="633">
        <v>1.0009999999999999</v>
      </c>
      <c r="I12" s="633">
        <v>0.999</v>
      </c>
      <c r="J12" s="633">
        <v>0.997</v>
      </c>
      <c r="K12" s="633">
        <v>0.999</v>
      </c>
      <c r="L12" s="633">
        <v>0</v>
      </c>
      <c r="M12" s="633">
        <v>1</v>
      </c>
      <c r="N12" s="633">
        <v>0.99746299999999999</v>
      </c>
    </row>
    <row r="13" spans="1:14" x14ac:dyDescent="0.25">
      <c r="A13" s="724">
        <v>46110</v>
      </c>
      <c r="B13" s="633">
        <v>8</v>
      </c>
      <c r="C13" s="633">
        <v>101.325</v>
      </c>
      <c r="D13" s="633">
        <v>30</v>
      </c>
      <c r="E13" s="633">
        <v>998.2</v>
      </c>
      <c r="F13" s="633">
        <v>995.7</v>
      </c>
      <c r="G13" s="633">
        <v>1.085</v>
      </c>
      <c r="H13" s="633">
        <v>1.08</v>
      </c>
      <c r="I13" s="633">
        <v>1.077</v>
      </c>
      <c r="J13" s="633">
        <v>1.075</v>
      </c>
      <c r="K13" s="633">
        <v>1.077</v>
      </c>
      <c r="L13" s="633">
        <v>0</v>
      </c>
      <c r="M13" s="633">
        <v>1</v>
      </c>
      <c r="N13" s="633">
        <v>0.99746299999999999</v>
      </c>
    </row>
    <row r="14" spans="1:14" x14ac:dyDescent="0.25">
      <c r="A14" s="724">
        <v>46110</v>
      </c>
      <c r="B14" s="633">
        <v>9</v>
      </c>
      <c r="C14" s="633">
        <v>101.325</v>
      </c>
      <c r="D14" s="633">
        <v>30</v>
      </c>
      <c r="E14" s="633">
        <v>998.2</v>
      </c>
      <c r="F14" s="633">
        <v>995.7</v>
      </c>
      <c r="G14" s="633">
        <v>1.407</v>
      </c>
      <c r="H14" s="633">
        <v>1.401</v>
      </c>
      <c r="I14" s="633">
        <v>1.397</v>
      </c>
      <c r="J14" s="633">
        <v>1.395</v>
      </c>
      <c r="K14" s="633">
        <v>1.397</v>
      </c>
      <c r="L14" s="633">
        <v>0</v>
      </c>
      <c r="M14" s="633">
        <v>1</v>
      </c>
      <c r="N14" s="633">
        <v>0.99746299999999999</v>
      </c>
    </row>
    <row r="15" spans="1:14" x14ac:dyDescent="0.25">
      <c r="A15" s="724">
        <v>46110</v>
      </c>
      <c r="B15" s="633">
        <v>10</v>
      </c>
      <c r="C15" s="633">
        <v>101.325</v>
      </c>
      <c r="D15" s="633">
        <v>30</v>
      </c>
      <c r="E15" s="633">
        <v>998.2</v>
      </c>
      <c r="F15" s="633">
        <v>995.7</v>
      </c>
      <c r="G15" s="633">
        <v>1.74</v>
      </c>
      <c r="H15" s="633">
        <v>1.7330000000000001</v>
      </c>
      <c r="I15" s="633">
        <v>1.7290000000000001</v>
      </c>
      <c r="J15" s="633">
        <v>1.7250000000000001</v>
      </c>
      <c r="K15" s="633">
        <v>1.7290000000000001</v>
      </c>
      <c r="L15" s="633">
        <v>0</v>
      </c>
      <c r="M15" s="633">
        <v>1</v>
      </c>
      <c r="N15" s="633">
        <v>0.99746299999999999</v>
      </c>
    </row>
    <row r="16" spans="1:14" x14ac:dyDescent="0.25">
      <c r="A16" s="724">
        <v>46110</v>
      </c>
      <c r="B16" s="633">
        <v>11</v>
      </c>
      <c r="C16" s="633">
        <v>101.325</v>
      </c>
      <c r="D16" s="633">
        <v>30</v>
      </c>
      <c r="E16" s="633">
        <v>998.2</v>
      </c>
      <c r="F16" s="633">
        <v>995.7</v>
      </c>
      <c r="G16" s="633">
        <v>1.85</v>
      </c>
      <c r="H16" s="633">
        <v>1.8420000000000001</v>
      </c>
      <c r="I16" s="633">
        <v>1.837</v>
      </c>
      <c r="J16" s="633">
        <v>1.8340000000000001</v>
      </c>
      <c r="K16" s="633">
        <v>1.837</v>
      </c>
      <c r="L16" s="633">
        <v>0</v>
      </c>
      <c r="M16" s="633">
        <v>1</v>
      </c>
      <c r="N16" s="633">
        <v>0.99746299999999999</v>
      </c>
    </row>
    <row r="17" spans="1:14" x14ac:dyDescent="0.25">
      <c r="A17" s="724">
        <v>46110</v>
      </c>
      <c r="B17" s="633">
        <v>12</v>
      </c>
      <c r="C17" s="633">
        <v>1.0129999999999999</v>
      </c>
      <c r="D17" s="633">
        <v>30</v>
      </c>
      <c r="E17" s="633">
        <v>998.2</v>
      </c>
      <c r="F17" s="633">
        <v>995.7</v>
      </c>
      <c r="G17" s="633">
        <v>1.8819999999999999</v>
      </c>
      <c r="H17" s="633">
        <v>1.8740000000000001</v>
      </c>
      <c r="I17" s="633">
        <v>1.869</v>
      </c>
      <c r="J17" s="633">
        <v>1.8660000000000001</v>
      </c>
      <c r="K17" s="633">
        <v>1.869</v>
      </c>
      <c r="L17" s="633">
        <v>0</v>
      </c>
      <c r="M17" s="633">
        <v>1</v>
      </c>
      <c r="N17" s="633">
        <v>0.99746299999999999</v>
      </c>
    </row>
    <row r="18" spans="1:14" x14ac:dyDescent="0.25">
      <c r="A18" s="724">
        <v>46110</v>
      </c>
      <c r="B18" s="633">
        <v>13</v>
      </c>
      <c r="C18" s="633">
        <v>101.325</v>
      </c>
      <c r="D18" s="633">
        <v>30</v>
      </c>
      <c r="E18" s="633">
        <v>998.2</v>
      </c>
      <c r="F18" s="633">
        <v>995.7</v>
      </c>
      <c r="G18" s="633">
        <v>1.788</v>
      </c>
      <c r="H18" s="633">
        <v>1.78</v>
      </c>
      <c r="I18" s="633">
        <v>1.7749999999999999</v>
      </c>
      <c r="J18" s="633">
        <v>1.772</v>
      </c>
      <c r="K18" s="633">
        <v>1.7749999999999999</v>
      </c>
      <c r="L18" s="633">
        <v>0</v>
      </c>
      <c r="M18" s="633">
        <v>1</v>
      </c>
      <c r="N18" s="633">
        <v>0.99746299999999999</v>
      </c>
    </row>
    <row r="19" spans="1:14" x14ac:dyDescent="0.25">
      <c r="A19" s="724">
        <v>46110</v>
      </c>
      <c r="B19" s="633">
        <v>14</v>
      </c>
      <c r="C19" s="633">
        <v>101.325</v>
      </c>
      <c r="D19" s="633">
        <v>30</v>
      </c>
      <c r="E19" s="633">
        <v>998.2</v>
      </c>
      <c r="F19" s="633">
        <v>995.7</v>
      </c>
      <c r="G19" s="633">
        <v>1.768</v>
      </c>
      <c r="H19" s="633">
        <v>1.76</v>
      </c>
      <c r="I19" s="633">
        <v>1.756</v>
      </c>
      <c r="J19" s="633">
        <v>1.7529999999999999</v>
      </c>
      <c r="K19" s="633">
        <v>1.756</v>
      </c>
      <c r="L19" s="633">
        <v>0</v>
      </c>
      <c r="M19" s="633">
        <v>1</v>
      </c>
      <c r="N19" s="633">
        <v>0.99746299999999999</v>
      </c>
    </row>
    <row r="20" spans="1:14" x14ac:dyDescent="0.25">
      <c r="A20" s="724">
        <v>46110</v>
      </c>
      <c r="B20" s="633">
        <v>15</v>
      </c>
      <c r="C20" s="633">
        <v>101.325</v>
      </c>
      <c r="D20" s="633">
        <v>30</v>
      </c>
      <c r="E20" s="633">
        <v>998.2</v>
      </c>
      <c r="F20" s="633">
        <v>995.7</v>
      </c>
      <c r="G20" s="633">
        <v>1.6319999999999999</v>
      </c>
      <c r="H20" s="633">
        <v>1.625</v>
      </c>
      <c r="I20" s="633">
        <v>1.621</v>
      </c>
      <c r="J20" s="633">
        <v>1.6180000000000001</v>
      </c>
      <c r="K20" s="633">
        <v>1.621</v>
      </c>
      <c r="L20" s="633">
        <v>0</v>
      </c>
      <c r="M20" s="633">
        <v>1</v>
      </c>
      <c r="N20" s="633">
        <v>0.99746299999999999</v>
      </c>
    </row>
    <row r="21" spans="1:14" x14ac:dyDescent="0.25">
      <c r="A21" s="724">
        <v>46110</v>
      </c>
      <c r="B21" s="633">
        <v>16</v>
      </c>
      <c r="C21" s="633">
        <v>101.325</v>
      </c>
      <c r="D21" s="633">
        <v>30</v>
      </c>
      <c r="E21" s="633">
        <v>998.2</v>
      </c>
      <c r="F21" s="633">
        <v>995.7</v>
      </c>
      <c r="G21" s="633">
        <v>1.7649999999999999</v>
      </c>
      <c r="H21" s="633">
        <v>1.758</v>
      </c>
      <c r="I21" s="633">
        <v>1.7529999999999999</v>
      </c>
      <c r="J21" s="633">
        <v>1.75</v>
      </c>
      <c r="K21" s="633">
        <v>1.7529999999999999</v>
      </c>
      <c r="L21" s="633">
        <v>0</v>
      </c>
      <c r="M21" s="633">
        <v>1</v>
      </c>
      <c r="N21" s="633">
        <v>0.99746299999999999</v>
      </c>
    </row>
    <row r="22" spans="1:14" x14ac:dyDescent="0.25">
      <c r="A22" s="724">
        <v>46110</v>
      </c>
      <c r="B22" s="633">
        <v>17</v>
      </c>
      <c r="C22" s="633">
        <v>101.325</v>
      </c>
      <c r="D22" s="633">
        <v>30</v>
      </c>
      <c r="E22" s="633">
        <v>998.2</v>
      </c>
      <c r="F22" s="633">
        <v>995.7</v>
      </c>
      <c r="G22" s="633">
        <v>1.7210000000000001</v>
      </c>
      <c r="H22" s="633">
        <v>1.7130000000000001</v>
      </c>
      <c r="I22" s="633">
        <v>1.7090000000000001</v>
      </c>
      <c r="J22" s="633">
        <v>1.706</v>
      </c>
      <c r="K22" s="633">
        <v>1.7090000000000001</v>
      </c>
      <c r="L22" s="633">
        <v>0</v>
      </c>
      <c r="M22" s="633">
        <v>1</v>
      </c>
      <c r="N22" s="633">
        <v>0.99746299999999999</v>
      </c>
    </row>
    <row r="23" spans="1:14" x14ac:dyDescent="0.25">
      <c r="A23" s="724">
        <v>46110</v>
      </c>
      <c r="B23" s="633">
        <v>18</v>
      </c>
      <c r="C23" s="633">
        <v>101.325</v>
      </c>
      <c r="D23" s="633">
        <v>30</v>
      </c>
      <c r="E23" s="633">
        <v>998.2</v>
      </c>
      <c r="F23" s="633">
        <v>995.7</v>
      </c>
      <c r="G23" s="633">
        <v>1.825</v>
      </c>
      <c r="H23" s="633">
        <v>1.8169999999999999</v>
      </c>
      <c r="I23" s="633">
        <v>1.8129999999999999</v>
      </c>
      <c r="J23" s="633">
        <v>1.8089999999999999</v>
      </c>
      <c r="K23" s="633">
        <v>1.8129999999999999</v>
      </c>
      <c r="L23" s="633">
        <v>0</v>
      </c>
      <c r="M23" s="633">
        <v>1</v>
      </c>
      <c r="N23" s="633">
        <v>0.99746299999999999</v>
      </c>
    </row>
    <row r="24" spans="1:14" x14ac:dyDescent="0.25">
      <c r="A24" s="724">
        <v>46110</v>
      </c>
      <c r="B24" s="633">
        <v>19</v>
      </c>
      <c r="C24" s="633">
        <v>101.325</v>
      </c>
      <c r="D24" s="633">
        <v>30</v>
      </c>
      <c r="E24" s="633">
        <v>998.2</v>
      </c>
      <c r="F24" s="633">
        <v>995.7</v>
      </c>
      <c r="G24" s="633">
        <v>2.1680000000000001</v>
      </c>
      <c r="H24" s="633">
        <v>2.1589999999999998</v>
      </c>
      <c r="I24" s="633">
        <v>2.153</v>
      </c>
      <c r="J24" s="633">
        <v>2.15</v>
      </c>
      <c r="K24" s="633">
        <v>2.153</v>
      </c>
      <c r="L24" s="633">
        <v>0</v>
      </c>
      <c r="M24" s="633">
        <v>1</v>
      </c>
      <c r="N24" s="633">
        <v>0.99746299999999999</v>
      </c>
    </row>
    <row r="25" spans="1:14" x14ac:dyDescent="0.25">
      <c r="A25" s="724">
        <v>46110</v>
      </c>
      <c r="B25" s="633">
        <v>20</v>
      </c>
      <c r="C25" s="633">
        <v>101.325</v>
      </c>
      <c r="D25" s="633">
        <v>30</v>
      </c>
      <c r="E25" s="633">
        <v>998.2</v>
      </c>
      <c r="F25" s="633">
        <v>995.7</v>
      </c>
      <c r="G25" s="633">
        <v>1.9219999999999999</v>
      </c>
      <c r="H25" s="633">
        <v>1.9139999999999999</v>
      </c>
      <c r="I25" s="633">
        <v>1.909</v>
      </c>
      <c r="J25" s="633">
        <v>1.905</v>
      </c>
      <c r="K25" s="633">
        <v>1.909</v>
      </c>
      <c r="L25" s="633">
        <v>0</v>
      </c>
      <c r="M25" s="633">
        <v>1</v>
      </c>
      <c r="N25" s="633">
        <v>0.99746299999999999</v>
      </c>
    </row>
    <row r="26" spans="1:14" x14ac:dyDescent="0.25">
      <c r="A26" s="724">
        <v>46110</v>
      </c>
      <c r="B26" s="633">
        <v>21</v>
      </c>
      <c r="C26" s="633">
        <v>101.325</v>
      </c>
      <c r="D26" s="633">
        <v>30</v>
      </c>
      <c r="E26" s="633">
        <v>998.2</v>
      </c>
      <c r="F26" s="633">
        <v>995.7</v>
      </c>
      <c r="G26" s="633">
        <v>1.907</v>
      </c>
      <c r="H26" s="633">
        <v>1.8979999999999999</v>
      </c>
      <c r="I26" s="633">
        <v>1.8939999999999999</v>
      </c>
      <c r="J26" s="633">
        <v>1.891</v>
      </c>
      <c r="K26" s="633">
        <v>1.8939999999999999</v>
      </c>
      <c r="L26" s="633">
        <v>0</v>
      </c>
      <c r="M26" s="633">
        <v>1</v>
      </c>
      <c r="N26" s="633">
        <v>0.99746299999999999</v>
      </c>
    </row>
    <row r="30" spans="1:14" x14ac:dyDescent="0.25">
      <c r="B30" s="724">
        <v>46109</v>
      </c>
      <c r="C30" s="12">
        <v>101.325</v>
      </c>
      <c r="D30" s="12">
        <v>30</v>
      </c>
      <c r="E30" s="12">
        <v>998.2</v>
      </c>
      <c r="F30" s="12">
        <v>995.7</v>
      </c>
      <c r="G30" s="12">
        <v>42.594999999999999</v>
      </c>
      <c r="H30" s="12">
        <v>42.41</v>
      </c>
      <c r="I30" s="12">
        <v>42.302</v>
      </c>
      <c r="J30" s="12">
        <v>42.226999999999997</v>
      </c>
      <c r="K30" s="12">
        <v>42.302</v>
      </c>
      <c r="L30" s="12">
        <v>0</v>
      </c>
      <c r="M30" s="12">
        <v>1</v>
      </c>
      <c r="N30" s="12">
        <v>0.99746299999999999</v>
      </c>
    </row>
    <row r="31" spans="1:14" x14ac:dyDescent="0.25">
      <c r="B31" s="724">
        <v>46110</v>
      </c>
      <c r="C31" s="12">
        <v>101.325</v>
      </c>
      <c r="D31" s="12">
        <v>30</v>
      </c>
      <c r="E31" s="12">
        <v>998.2</v>
      </c>
      <c r="F31" s="12">
        <v>995.7</v>
      </c>
      <c r="G31" s="12">
        <v>36.069000000000003</v>
      </c>
      <c r="H31" s="12">
        <v>35.912999999999997</v>
      </c>
      <c r="I31" s="12">
        <v>35.823</v>
      </c>
      <c r="J31" s="12">
        <v>35.759</v>
      </c>
      <c r="K31" s="12">
        <v>35.823</v>
      </c>
      <c r="L31" s="12">
        <v>0</v>
      </c>
      <c r="M31" s="12">
        <v>1</v>
      </c>
      <c r="N31" s="12">
        <v>0.99746299999999999</v>
      </c>
    </row>
    <row r="32" spans="1:14" x14ac:dyDescent="0.25">
      <c r="B32" s="724">
        <v>46111</v>
      </c>
      <c r="C32" s="632">
        <v>101.325</v>
      </c>
      <c r="D32" s="632">
        <v>30</v>
      </c>
      <c r="E32" s="632">
        <v>998.2</v>
      </c>
      <c r="F32" s="632">
        <v>995.7</v>
      </c>
      <c r="G32" s="632">
        <v>51.378</v>
      </c>
      <c r="H32" s="632">
        <v>51.155999999999999</v>
      </c>
      <c r="I32" s="632">
        <v>51.024999999999999</v>
      </c>
      <c r="J32" s="632">
        <v>50.935000000000002</v>
      </c>
      <c r="K32" s="632">
        <v>51.024999999999999</v>
      </c>
      <c r="L32" s="632">
        <v>0</v>
      </c>
      <c r="M32" s="632">
        <v>1</v>
      </c>
      <c r="N32" s="632">
        <v>0.99746299999999999</v>
      </c>
    </row>
  </sheetData>
  <mergeCells count="2">
    <mergeCell ref="A1:A2"/>
    <mergeCell ref="B1:B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CE9D9-4AE9-4315-8369-CE28DC6B8B56}">
  <sheetPr codeName="Sheet16">
    <tabColor rgb="FF92D050"/>
  </sheetPr>
  <dimension ref="A1:AV54"/>
  <sheetViews>
    <sheetView showGridLines="0" zoomScale="70" workbookViewId="0">
      <pane xSplit="1" topLeftCell="AA1" activePane="topRight" state="frozen"/>
      <selection activeCell="A2" sqref="A1:O3"/>
      <selection pane="topRight" activeCell="A2" sqref="A1:O3"/>
    </sheetView>
  </sheetViews>
  <sheetFormatPr defaultColWidth="22.85546875" defaultRowHeight="15" x14ac:dyDescent="0.25"/>
  <cols>
    <col min="1" max="1" width="16.7109375" style="12" bestFit="1" customWidth="1"/>
    <col min="2" max="2" width="5.85546875" style="12" bestFit="1" customWidth="1"/>
    <col min="3" max="3" width="12.140625" style="12" hidden="1" customWidth="1"/>
    <col min="4" max="4" width="7" style="12" hidden="1" customWidth="1"/>
    <col min="5" max="5" width="12.42578125" style="12" hidden="1" customWidth="1"/>
    <col min="6" max="6" width="7" style="12" hidden="1" customWidth="1"/>
    <col min="7" max="9" width="8" style="12" hidden="1" customWidth="1"/>
    <col min="10" max="10" width="7.28515625" style="12" hidden="1" customWidth="1"/>
    <col min="11" max="11" width="10.28515625" style="12" hidden="1" customWidth="1"/>
    <col min="12" max="12" width="10.28515625" style="12" bestFit="1" customWidth="1"/>
    <col min="13" max="13" width="13.28515625" style="12" bestFit="1" customWidth="1"/>
    <col min="14" max="14" width="21.7109375" style="12" bestFit="1" customWidth="1"/>
    <col min="15" max="15" width="22.85546875" style="12"/>
    <col min="16" max="16" width="20.7109375" style="12" bestFit="1" customWidth="1"/>
    <col min="17" max="18" width="20.85546875" style="12" bestFit="1" customWidth="1"/>
    <col min="19" max="19" width="19" bestFit="1" customWidth="1"/>
    <col min="20" max="20" width="20.140625" style="12" bestFit="1" customWidth="1"/>
    <col min="21" max="21" width="18.140625" style="12" bestFit="1" customWidth="1"/>
    <col min="22" max="23" width="20.5703125" style="12" bestFit="1" customWidth="1"/>
    <col min="24" max="24" width="17" style="12" bestFit="1" customWidth="1"/>
    <col min="25" max="25" width="18" style="12" bestFit="1" customWidth="1"/>
    <col min="26" max="26" width="16.140625" style="12" bestFit="1" customWidth="1"/>
    <col min="27" max="28" width="18.7109375" style="12" bestFit="1" customWidth="1"/>
    <col min="29" max="30" width="18.28515625" style="12" bestFit="1" customWidth="1"/>
    <col min="31" max="31" width="16.140625" style="12" bestFit="1" customWidth="1"/>
    <col min="32" max="32" width="18.7109375" style="12" bestFit="1" customWidth="1"/>
    <col min="33" max="33" width="18.7109375" style="12" customWidth="1"/>
    <col min="34" max="34" width="22.140625" style="12" bestFit="1" customWidth="1"/>
    <col min="35" max="35" width="20.85546875" style="12" bestFit="1" customWidth="1"/>
    <col min="36" max="36" width="21.140625" style="12" bestFit="1" customWidth="1"/>
    <col min="37" max="37" width="21.42578125" style="12" bestFit="1" customWidth="1"/>
    <col min="38" max="38" width="21.42578125" bestFit="1" customWidth="1"/>
    <col min="39" max="39" width="18" style="12" bestFit="1" customWidth="1"/>
    <col min="40" max="40" width="19.140625" style="12" bestFit="1" customWidth="1"/>
    <col min="41" max="41" width="21.140625" style="12" bestFit="1" customWidth="1"/>
    <col min="42" max="42" width="19.5703125" style="12" bestFit="1" customWidth="1"/>
    <col min="43" max="43" width="13.85546875" style="12" bestFit="1" customWidth="1"/>
    <col min="44" max="44" width="15" style="12" bestFit="1" customWidth="1"/>
    <col min="45" max="45" width="17.85546875" style="12" bestFit="1" customWidth="1"/>
    <col min="46" max="46" width="18.42578125" style="12" bestFit="1" customWidth="1"/>
    <col min="47" max="47" width="19.5703125" style="12" bestFit="1" customWidth="1"/>
    <col min="48" max="48" width="18.28515625" style="12" bestFit="1" customWidth="1"/>
    <col min="49" max="16384" width="22.85546875" style="12"/>
  </cols>
  <sheetData>
    <row r="1" spans="1:48" s="581" customFormat="1" ht="31.5" x14ac:dyDescent="0.25">
      <c r="A1" s="662" t="s">
        <v>640</v>
      </c>
      <c r="B1" s="662" t="s">
        <v>619</v>
      </c>
      <c r="C1" s="662" t="s">
        <v>641</v>
      </c>
      <c r="D1" s="663" t="s">
        <v>642</v>
      </c>
      <c r="E1" s="662" t="s">
        <v>643</v>
      </c>
      <c r="F1" s="664" t="s">
        <v>644</v>
      </c>
      <c r="G1" s="664" t="s">
        <v>645</v>
      </c>
      <c r="H1" s="664" t="s">
        <v>646</v>
      </c>
      <c r="I1" s="664" t="s">
        <v>647</v>
      </c>
      <c r="J1" s="664" t="s">
        <v>648</v>
      </c>
      <c r="K1" s="664" t="s">
        <v>649</v>
      </c>
      <c r="L1" s="664" t="s">
        <v>650</v>
      </c>
      <c r="M1" s="664" t="s">
        <v>651</v>
      </c>
      <c r="N1" s="664" t="s">
        <v>652</v>
      </c>
      <c r="O1" s="664" t="s">
        <v>653</v>
      </c>
      <c r="P1" s="664" t="s">
        <v>654</v>
      </c>
      <c r="Q1" s="664" t="s">
        <v>655</v>
      </c>
      <c r="R1" s="664" t="s">
        <v>656</v>
      </c>
      <c r="S1" s="664" t="s">
        <v>657</v>
      </c>
      <c r="T1" s="664" t="s">
        <v>658</v>
      </c>
      <c r="U1" s="664" t="s">
        <v>659</v>
      </c>
      <c r="V1" s="664" t="s">
        <v>660</v>
      </c>
      <c r="W1" s="664" t="s">
        <v>661</v>
      </c>
      <c r="X1" s="664" t="s">
        <v>662</v>
      </c>
      <c r="Y1" s="665" t="s">
        <v>663</v>
      </c>
      <c r="Z1" s="664" t="s">
        <v>664</v>
      </c>
      <c r="AA1" s="664" t="s">
        <v>665</v>
      </c>
      <c r="AB1" s="664" t="s">
        <v>666</v>
      </c>
      <c r="AC1" s="664" t="s">
        <v>667</v>
      </c>
      <c r="AD1" s="664" t="s">
        <v>668</v>
      </c>
      <c r="AE1" s="664" t="s">
        <v>669</v>
      </c>
      <c r="AF1" s="664" t="s">
        <v>670</v>
      </c>
      <c r="AG1" s="664" t="s">
        <v>671</v>
      </c>
      <c r="AH1" s="664" t="s">
        <v>672</v>
      </c>
      <c r="AI1" s="664" t="s">
        <v>673</v>
      </c>
      <c r="AJ1" s="664" t="s">
        <v>674</v>
      </c>
      <c r="AK1" s="664" t="s">
        <v>675</v>
      </c>
      <c r="AL1" s="664" t="s">
        <v>676</v>
      </c>
      <c r="AM1" s="664" t="s">
        <v>677</v>
      </c>
      <c r="AN1" s="664" t="s">
        <v>678</v>
      </c>
      <c r="AO1" s="664" t="s">
        <v>679</v>
      </c>
      <c r="AP1" s="664" t="s">
        <v>680</v>
      </c>
      <c r="AQ1" s="664" t="s">
        <v>681</v>
      </c>
      <c r="AR1" s="664" t="s">
        <v>682</v>
      </c>
      <c r="AS1" s="664" t="s">
        <v>683</v>
      </c>
      <c r="AT1" s="664" t="s">
        <v>684</v>
      </c>
      <c r="AU1" s="664" t="s">
        <v>685</v>
      </c>
      <c r="AV1" s="326" t="s">
        <v>686</v>
      </c>
    </row>
    <row r="2" spans="1:48" x14ac:dyDescent="0.25">
      <c r="A2" s="23" t="s">
        <v>687</v>
      </c>
      <c r="B2" s="636" t="s">
        <v>688</v>
      </c>
      <c r="C2" s="566" t="s">
        <v>689</v>
      </c>
      <c r="D2" s="190" t="s">
        <v>690</v>
      </c>
      <c r="E2" s="23" t="s">
        <v>691</v>
      </c>
      <c r="F2" s="191"/>
      <c r="G2" s="191"/>
      <c r="H2" s="191" t="s">
        <v>692</v>
      </c>
      <c r="I2" s="191" t="s">
        <v>693</v>
      </c>
      <c r="J2" s="191" t="s">
        <v>694</v>
      </c>
      <c r="K2" s="641" t="s">
        <v>38</v>
      </c>
      <c r="L2" s="641" t="s">
        <v>38</v>
      </c>
      <c r="M2" s="641" t="s">
        <v>695</v>
      </c>
      <c r="N2" s="191">
        <v>0</v>
      </c>
      <c r="O2" s="191">
        <v>103.55</v>
      </c>
      <c r="P2" s="191">
        <v>103.55</v>
      </c>
      <c r="Q2" s="191">
        <v>9.5000000000000001E-2</v>
      </c>
      <c r="R2" s="191">
        <v>103.645</v>
      </c>
      <c r="S2" s="191">
        <v>0</v>
      </c>
      <c r="T2" s="191">
        <v>104.53400000000001</v>
      </c>
      <c r="U2" s="191">
        <v>104.53400000000001</v>
      </c>
      <c r="V2" s="191">
        <v>9.5000000000000001E-2</v>
      </c>
      <c r="W2" s="191">
        <v>104.629</v>
      </c>
      <c r="X2" s="191">
        <v>26.231999999999999</v>
      </c>
      <c r="Y2" s="23">
        <v>78.302000000000007</v>
      </c>
      <c r="Z2" s="191"/>
      <c r="AA2" s="191">
        <v>9.5000000000000001E-2</v>
      </c>
      <c r="AB2" s="191"/>
      <c r="AC2" s="23">
        <v>30119</v>
      </c>
      <c r="AD2" s="23">
        <v>91.055999999999997</v>
      </c>
      <c r="AE2" s="23"/>
      <c r="AF2" s="23">
        <v>7.5999999999999998E-2</v>
      </c>
      <c r="AG2" s="23"/>
      <c r="AH2" s="23">
        <v>26.231999999999999</v>
      </c>
      <c r="AI2" s="23">
        <v>78.302000000000007</v>
      </c>
      <c r="AJ2" s="23"/>
      <c r="AK2" s="23">
        <v>9.5000000000000001E-2</v>
      </c>
      <c r="AL2" s="21"/>
      <c r="AM2" s="23">
        <v>30119</v>
      </c>
      <c r="AN2" s="23">
        <v>91.055999999999997</v>
      </c>
      <c r="AO2" s="23"/>
      <c r="AP2" s="23">
        <v>7.5999999999999998E-2</v>
      </c>
      <c r="AQ2" s="23"/>
      <c r="AR2" s="23">
        <v>621.29999999999995</v>
      </c>
      <c r="AS2" s="23">
        <v>75.62</v>
      </c>
      <c r="AT2" s="23">
        <v>574.76</v>
      </c>
      <c r="AU2" s="23">
        <v>635.03</v>
      </c>
      <c r="AV2" s="23">
        <v>997.05</v>
      </c>
    </row>
    <row r="3" spans="1:48" x14ac:dyDescent="0.25">
      <c r="A3" s="23" t="s">
        <v>687</v>
      </c>
      <c r="B3" s="636" t="s">
        <v>696</v>
      </c>
      <c r="C3" s="566" t="s">
        <v>689</v>
      </c>
      <c r="D3" s="190" t="s">
        <v>690</v>
      </c>
      <c r="E3" s="23" t="s">
        <v>691</v>
      </c>
      <c r="F3" s="191"/>
      <c r="G3" s="191"/>
      <c r="H3" s="191" t="s">
        <v>692</v>
      </c>
      <c r="I3" s="191" t="s">
        <v>693</v>
      </c>
      <c r="J3" s="191" t="s">
        <v>694</v>
      </c>
      <c r="K3" s="641" t="s">
        <v>38</v>
      </c>
      <c r="L3" s="641" t="s">
        <v>38</v>
      </c>
      <c r="M3" s="641" t="s">
        <v>695</v>
      </c>
      <c r="N3" s="191">
        <v>0</v>
      </c>
      <c r="O3" s="191">
        <v>103.52</v>
      </c>
      <c r="P3" s="191">
        <v>103.52</v>
      </c>
      <c r="Q3" s="191">
        <v>9.4E-2</v>
      </c>
      <c r="R3" s="191">
        <v>103.61499999999999</v>
      </c>
      <c r="S3" s="191">
        <v>0</v>
      </c>
      <c r="T3" s="191">
        <v>104.504</v>
      </c>
      <c r="U3" s="191">
        <v>104.504</v>
      </c>
      <c r="V3" s="191">
        <v>9.4E-2</v>
      </c>
      <c r="W3" s="191">
        <v>104.598</v>
      </c>
      <c r="X3" s="191">
        <v>26.225000000000001</v>
      </c>
      <c r="Y3" s="23">
        <v>78.278999999999996</v>
      </c>
      <c r="Z3" s="191"/>
      <c r="AA3" s="191">
        <v>9.4E-2</v>
      </c>
      <c r="AB3" s="191"/>
      <c r="AC3" s="23">
        <v>30110</v>
      </c>
      <c r="AD3" s="23">
        <v>91.03</v>
      </c>
      <c r="AE3" s="23"/>
      <c r="AF3" s="23">
        <v>7.5999999999999998E-2</v>
      </c>
      <c r="AG3" s="23"/>
      <c r="AH3" s="23">
        <v>26.225000000000001</v>
      </c>
      <c r="AI3" s="23">
        <v>78.278999999999996</v>
      </c>
      <c r="AJ3" s="23"/>
      <c r="AK3" s="23">
        <v>9.4E-2</v>
      </c>
      <c r="AL3" s="21"/>
      <c r="AM3" s="23">
        <v>30110</v>
      </c>
      <c r="AN3" s="23">
        <v>91.03</v>
      </c>
      <c r="AO3" s="23"/>
      <c r="AP3" s="23">
        <v>7.5999999999999998E-2</v>
      </c>
      <c r="AQ3" s="23"/>
      <c r="AR3" s="23">
        <v>621.51</v>
      </c>
      <c r="AS3" s="23">
        <v>75.3</v>
      </c>
      <c r="AT3" s="23">
        <v>575.02</v>
      </c>
      <c r="AU3" s="23">
        <v>635.26</v>
      </c>
      <c r="AV3" s="23">
        <v>997.05</v>
      </c>
    </row>
    <row r="4" spans="1:48" x14ac:dyDescent="0.25">
      <c r="A4" s="23" t="s">
        <v>697</v>
      </c>
      <c r="B4" s="636" t="s">
        <v>698</v>
      </c>
      <c r="C4" s="566" t="s">
        <v>689</v>
      </c>
      <c r="D4" s="190" t="s">
        <v>690</v>
      </c>
      <c r="E4" s="23" t="s">
        <v>691</v>
      </c>
      <c r="F4" s="191"/>
      <c r="G4" s="191"/>
      <c r="H4" s="191" t="s">
        <v>692</v>
      </c>
      <c r="I4" s="191" t="s">
        <v>693</v>
      </c>
      <c r="J4" s="191" t="s">
        <v>694</v>
      </c>
      <c r="K4" s="641" t="s">
        <v>38</v>
      </c>
      <c r="L4" s="641" t="s">
        <v>38</v>
      </c>
      <c r="M4" s="641" t="s">
        <v>695</v>
      </c>
      <c r="N4" s="191">
        <v>0</v>
      </c>
      <c r="O4" s="191">
        <v>104.11799999999999</v>
      </c>
      <c r="P4" s="191">
        <v>104.11799999999999</v>
      </c>
      <c r="Q4" s="191">
        <v>9.5000000000000001E-2</v>
      </c>
      <c r="R4" s="191">
        <v>104.21299999999999</v>
      </c>
      <c r="S4" s="191">
        <v>0</v>
      </c>
      <c r="T4" s="191">
        <v>105.107</v>
      </c>
      <c r="U4" s="191">
        <v>105.107</v>
      </c>
      <c r="V4" s="191">
        <v>9.5000000000000001E-2</v>
      </c>
      <c r="W4" s="191">
        <v>105.202</v>
      </c>
      <c r="X4" s="191">
        <v>26.376000000000001</v>
      </c>
      <c r="Y4" s="23">
        <v>78.730999999999995</v>
      </c>
      <c r="Z4" s="191"/>
      <c r="AA4" s="191">
        <v>9.5000000000000001E-2</v>
      </c>
      <c r="AB4" s="191"/>
      <c r="AC4" s="23">
        <v>30284</v>
      </c>
      <c r="AD4" s="23">
        <v>91.555000000000007</v>
      </c>
      <c r="AE4" s="23"/>
      <c r="AF4" s="23">
        <v>7.5999999999999998E-2</v>
      </c>
      <c r="AG4" s="23"/>
      <c r="AH4" s="23">
        <v>26.376000000000001</v>
      </c>
      <c r="AI4" s="23">
        <v>78.730999999999995</v>
      </c>
      <c r="AJ4" s="23"/>
      <c r="AK4" s="23">
        <v>9.5000000000000001E-2</v>
      </c>
      <c r="AL4" s="21"/>
      <c r="AM4" s="23">
        <v>30284</v>
      </c>
      <c r="AN4" s="23">
        <v>91.555000000000007</v>
      </c>
      <c r="AO4" s="23"/>
      <c r="AP4" s="23">
        <v>7.5999999999999998E-2</v>
      </c>
      <c r="AQ4" s="23"/>
      <c r="AR4" s="23">
        <v>621.54999999999995</v>
      </c>
      <c r="AS4" s="23">
        <v>75.099999999999994</v>
      </c>
      <c r="AT4" s="23">
        <v>575.17999999999995</v>
      </c>
      <c r="AU4" s="23">
        <v>635.4</v>
      </c>
      <c r="AV4" s="23">
        <v>997.05</v>
      </c>
    </row>
    <row r="5" spans="1:48" x14ac:dyDescent="0.25">
      <c r="A5" s="23" t="s">
        <v>697</v>
      </c>
      <c r="B5" s="636" t="s">
        <v>699</v>
      </c>
      <c r="C5" s="566" t="s">
        <v>689</v>
      </c>
      <c r="D5" s="190" t="s">
        <v>690</v>
      </c>
      <c r="E5" s="23" t="s">
        <v>691</v>
      </c>
      <c r="F5" s="191"/>
      <c r="G5" s="191"/>
      <c r="H5" s="191" t="s">
        <v>692</v>
      </c>
      <c r="I5" s="191" t="s">
        <v>693</v>
      </c>
      <c r="J5" s="191" t="s">
        <v>694</v>
      </c>
      <c r="K5" s="641" t="s">
        <v>38</v>
      </c>
      <c r="L5" s="641" t="s">
        <v>38</v>
      </c>
      <c r="M5" s="641" t="s">
        <v>695</v>
      </c>
      <c r="N5" s="191">
        <v>0</v>
      </c>
      <c r="O5" s="191">
        <v>104.21</v>
      </c>
      <c r="P5" s="191">
        <v>104.21</v>
      </c>
      <c r="Q5" s="191">
        <v>9.5000000000000001E-2</v>
      </c>
      <c r="R5" s="191">
        <v>104.30500000000001</v>
      </c>
      <c r="S5" s="191">
        <v>0</v>
      </c>
      <c r="T5" s="191">
        <v>105.2</v>
      </c>
      <c r="U5" s="191">
        <v>105.2</v>
      </c>
      <c r="V5" s="191">
        <v>9.5000000000000001E-2</v>
      </c>
      <c r="W5" s="191">
        <v>105.295</v>
      </c>
      <c r="X5" s="191">
        <v>26.399000000000001</v>
      </c>
      <c r="Y5" s="23">
        <v>78.801000000000002</v>
      </c>
      <c r="Z5" s="191"/>
      <c r="AA5" s="191">
        <v>9.5000000000000001E-2</v>
      </c>
      <c r="AB5" s="191"/>
      <c r="AC5" s="23">
        <v>30311</v>
      </c>
      <c r="AD5" s="23">
        <v>91.637</v>
      </c>
      <c r="AE5" s="23"/>
      <c r="AF5" s="23">
        <v>7.5999999999999998E-2</v>
      </c>
      <c r="AG5" s="23"/>
      <c r="AH5" s="23">
        <v>26.399000000000001</v>
      </c>
      <c r="AI5" s="23">
        <v>78.801000000000002</v>
      </c>
      <c r="AJ5" s="23"/>
      <c r="AK5" s="23">
        <v>9.5000000000000001E-2</v>
      </c>
      <c r="AL5" s="21"/>
      <c r="AM5" s="23">
        <v>30311</v>
      </c>
      <c r="AN5" s="23">
        <v>91.637</v>
      </c>
      <c r="AO5" s="23"/>
      <c r="AP5" s="23">
        <v>7.5999999999999998E-2</v>
      </c>
      <c r="AQ5" s="23"/>
      <c r="AR5" s="23">
        <v>621.65</v>
      </c>
      <c r="AS5" s="23">
        <v>74.959999999999994</v>
      </c>
      <c r="AT5" s="23">
        <v>575.29</v>
      </c>
      <c r="AU5" s="23">
        <v>635.5</v>
      </c>
      <c r="AV5" s="23">
        <v>997.05</v>
      </c>
    </row>
    <row r="6" spans="1:48" x14ac:dyDescent="0.25">
      <c r="A6" s="23" t="s">
        <v>697</v>
      </c>
      <c r="B6" s="636" t="s">
        <v>700</v>
      </c>
      <c r="C6" s="566" t="s">
        <v>689</v>
      </c>
      <c r="D6" s="190" t="s">
        <v>690</v>
      </c>
      <c r="E6" s="23" t="s">
        <v>691</v>
      </c>
      <c r="F6" s="191"/>
      <c r="G6" s="191"/>
      <c r="H6" s="191" t="s">
        <v>692</v>
      </c>
      <c r="I6" s="191" t="s">
        <v>693</v>
      </c>
      <c r="J6" s="191" t="s">
        <v>694</v>
      </c>
      <c r="K6" s="641" t="s">
        <v>38</v>
      </c>
      <c r="L6" s="641" t="s">
        <v>38</v>
      </c>
      <c r="M6" s="641" t="s">
        <v>695</v>
      </c>
      <c r="N6" s="191">
        <v>0</v>
      </c>
      <c r="O6" s="191">
        <v>104.21299999999999</v>
      </c>
      <c r="P6" s="191">
        <v>104.21299999999999</v>
      </c>
      <c r="Q6" s="191">
        <v>9.5000000000000001E-2</v>
      </c>
      <c r="R6" s="191">
        <v>104.30800000000001</v>
      </c>
      <c r="S6" s="191">
        <v>0</v>
      </c>
      <c r="T6" s="191">
        <v>105.203</v>
      </c>
      <c r="U6" s="191">
        <v>105.203</v>
      </c>
      <c r="V6" s="191">
        <v>9.5000000000000001E-2</v>
      </c>
      <c r="W6" s="191">
        <v>105.298</v>
      </c>
      <c r="X6" s="191">
        <v>26.4</v>
      </c>
      <c r="Y6" s="23">
        <v>78.802999999999997</v>
      </c>
      <c r="Z6" s="191"/>
      <c r="AA6" s="191">
        <v>9.5000000000000001E-2</v>
      </c>
      <c r="AB6" s="191"/>
      <c r="AC6" s="23">
        <v>30312</v>
      </c>
      <c r="AD6" s="23">
        <v>91.638999999999996</v>
      </c>
      <c r="AE6" s="23"/>
      <c r="AF6" s="23">
        <v>7.5999999999999998E-2</v>
      </c>
      <c r="AG6" s="23"/>
      <c r="AH6" s="23">
        <v>26.4</v>
      </c>
      <c r="AI6" s="23">
        <v>78.802999999999997</v>
      </c>
      <c r="AJ6" s="23"/>
      <c r="AK6" s="23">
        <v>9.5000000000000001E-2</v>
      </c>
      <c r="AL6" s="21"/>
      <c r="AM6" s="23">
        <v>30312</v>
      </c>
      <c r="AN6" s="23">
        <v>91.638999999999996</v>
      </c>
      <c r="AO6" s="23"/>
      <c r="AP6" s="23">
        <v>7.5999999999999998E-2</v>
      </c>
      <c r="AQ6" s="23"/>
      <c r="AR6" s="23">
        <v>621.75</v>
      </c>
      <c r="AS6" s="23">
        <v>74.849999999999994</v>
      </c>
      <c r="AT6" s="23">
        <v>575.37</v>
      </c>
      <c r="AU6" s="23">
        <v>635.58000000000004</v>
      </c>
      <c r="AV6" s="23">
        <v>997.05</v>
      </c>
    </row>
    <row r="7" spans="1:48" x14ac:dyDescent="0.25">
      <c r="A7" s="23" t="s">
        <v>697</v>
      </c>
      <c r="B7" s="636" t="s">
        <v>701</v>
      </c>
      <c r="C7" s="566" t="s">
        <v>689</v>
      </c>
      <c r="D7" s="190" t="s">
        <v>690</v>
      </c>
      <c r="E7" s="23" t="s">
        <v>691</v>
      </c>
      <c r="F7" s="191"/>
      <c r="G7" s="191"/>
      <c r="H7" s="191" t="s">
        <v>692</v>
      </c>
      <c r="I7" s="191" t="s">
        <v>693</v>
      </c>
      <c r="J7" s="191" t="s">
        <v>694</v>
      </c>
      <c r="K7" s="641" t="s">
        <v>38</v>
      </c>
      <c r="L7" s="641" t="s">
        <v>38</v>
      </c>
      <c r="M7" s="641" t="s">
        <v>695</v>
      </c>
      <c r="N7" s="191">
        <v>0</v>
      </c>
      <c r="O7" s="191">
        <v>104.559</v>
      </c>
      <c r="P7" s="191">
        <v>104.559</v>
      </c>
      <c r="Q7" s="191">
        <v>9.5000000000000001E-2</v>
      </c>
      <c r="R7" s="191">
        <v>104.654</v>
      </c>
      <c r="S7" s="191">
        <v>0</v>
      </c>
      <c r="T7" s="191">
        <v>105.55200000000001</v>
      </c>
      <c r="U7" s="191">
        <v>105.55200000000001</v>
      </c>
      <c r="V7" s="191">
        <v>9.5000000000000001E-2</v>
      </c>
      <c r="W7" s="191">
        <v>105.648</v>
      </c>
      <c r="X7" s="191">
        <v>26.488</v>
      </c>
      <c r="Y7" s="23">
        <v>79.064999999999998</v>
      </c>
      <c r="Z7" s="191"/>
      <c r="AA7" s="191">
        <v>9.5000000000000001E-2</v>
      </c>
      <c r="AB7" s="191"/>
      <c r="AC7" s="23">
        <v>30413</v>
      </c>
      <c r="AD7" s="23">
        <v>91.942999999999998</v>
      </c>
      <c r="AE7" s="23"/>
      <c r="AF7" s="23">
        <v>7.6999999999999999E-2</v>
      </c>
      <c r="AG7" s="23"/>
      <c r="AH7" s="23">
        <v>26.488</v>
      </c>
      <c r="AI7" s="23">
        <v>79.064999999999998</v>
      </c>
      <c r="AJ7" s="23"/>
      <c r="AK7" s="23">
        <v>9.5000000000000001E-2</v>
      </c>
      <c r="AL7" s="21"/>
      <c r="AM7" s="23">
        <v>30413</v>
      </c>
      <c r="AN7" s="23">
        <v>91.942999999999998</v>
      </c>
      <c r="AO7" s="23"/>
      <c r="AP7" s="23">
        <v>7.6999999999999999E-2</v>
      </c>
      <c r="AQ7" s="23"/>
      <c r="AR7" s="23">
        <v>621.79999999999995</v>
      </c>
      <c r="AS7" s="23">
        <v>74.78</v>
      </c>
      <c r="AT7" s="23">
        <v>575.42999999999995</v>
      </c>
      <c r="AU7" s="23">
        <v>635.63</v>
      </c>
      <c r="AV7" s="23">
        <v>997.05</v>
      </c>
    </row>
    <row r="8" spans="1:48" x14ac:dyDescent="0.25">
      <c r="A8" s="23" t="s">
        <v>697</v>
      </c>
      <c r="B8" s="636" t="s">
        <v>702</v>
      </c>
      <c r="C8" s="566" t="s">
        <v>689</v>
      </c>
      <c r="D8" s="190" t="s">
        <v>690</v>
      </c>
      <c r="E8" s="23" t="s">
        <v>691</v>
      </c>
      <c r="F8" s="191"/>
      <c r="G8" s="191"/>
      <c r="H8" s="191" t="s">
        <v>692</v>
      </c>
      <c r="I8" s="191" t="s">
        <v>693</v>
      </c>
      <c r="J8" s="191" t="s">
        <v>694</v>
      </c>
      <c r="K8" s="641" t="s">
        <v>38</v>
      </c>
      <c r="L8" s="641" t="s">
        <v>38</v>
      </c>
      <c r="M8" s="641" t="s">
        <v>695</v>
      </c>
      <c r="N8" s="191">
        <v>0</v>
      </c>
      <c r="O8" s="191">
        <v>104.646</v>
      </c>
      <c r="P8" s="191">
        <v>104.646</v>
      </c>
      <c r="Q8" s="191">
        <v>9.6000000000000002E-2</v>
      </c>
      <c r="R8" s="191">
        <v>104.742</v>
      </c>
      <c r="S8" s="191">
        <v>0</v>
      </c>
      <c r="T8" s="191">
        <v>105.64</v>
      </c>
      <c r="U8" s="191">
        <v>105.64</v>
      </c>
      <c r="V8" s="191">
        <v>9.6000000000000002E-2</v>
      </c>
      <c r="W8" s="191">
        <v>105.736</v>
      </c>
      <c r="X8" s="191">
        <v>26.51</v>
      </c>
      <c r="Y8" s="23">
        <v>79.131</v>
      </c>
      <c r="Z8" s="191"/>
      <c r="AA8" s="191">
        <v>9.6000000000000002E-2</v>
      </c>
      <c r="AB8" s="191"/>
      <c r="AC8" s="23">
        <v>30438</v>
      </c>
      <c r="AD8" s="23">
        <v>92.02</v>
      </c>
      <c r="AE8" s="23"/>
      <c r="AF8" s="23">
        <v>7.6999999999999999E-2</v>
      </c>
      <c r="AG8" s="23"/>
      <c r="AH8" s="23">
        <v>26.51</v>
      </c>
      <c r="AI8" s="23">
        <v>79.131</v>
      </c>
      <c r="AJ8" s="23"/>
      <c r="AK8" s="23">
        <v>9.6000000000000002E-2</v>
      </c>
      <c r="AL8" s="21"/>
      <c r="AM8" s="23">
        <v>30438</v>
      </c>
      <c r="AN8" s="23">
        <v>92.02</v>
      </c>
      <c r="AO8" s="23"/>
      <c r="AP8" s="23">
        <v>7.6999999999999999E-2</v>
      </c>
      <c r="AQ8" s="23"/>
      <c r="AR8" s="23">
        <v>621.85</v>
      </c>
      <c r="AS8" s="23">
        <v>74.73</v>
      </c>
      <c r="AT8" s="23">
        <v>575.47</v>
      </c>
      <c r="AU8" s="23">
        <v>635.66999999999996</v>
      </c>
      <c r="AV8" s="23">
        <v>997.05</v>
      </c>
    </row>
    <row r="9" spans="1:48" x14ac:dyDescent="0.25">
      <c r="A9" s="23" t="s">
        <v>697</v>
      </c>
      <c r="B9" s="636" t="s">
        <v>703</v>
      </c>
      <c r="C9" s="566" t="s">
        <v>689</v>
      </c>
      <c r="D9" s="190" t="s">
        <v>690</v>
      </c>
      <c r="E9" s="23" t="s">
        <v>691</v>
      </c>
      <c r="F9" s="191"/>
      <c r="G9" s="191"/>
      <c r="H9" s="191" t="s">
        <v>692</v>
      </c>
      <c r="I9" s="191" t="s">
        <v>693</v>
      </c>
      <c r="J9" s="191" t="s">
        <v>694</v>
      </c>
      <c r="K9" s="641" t="s">
        <v>38</v>
      </c>
      <c r="L9" s="641" t="s">
        <v>38</v>
      </c>
      <c r="M9" s="641" t="s">
        <v>695</v>
      </c>
      <c r="N9" s="191">
        <v>0</v>
      </c>
      <c r="O9" s="191">
        <v>104.627</v>
      </c>
      <c r="P9" s="191">
        <v>104.627</v>
      </c>
      <c r="Q9" s="191">
        <v>9.5000000000000001E-2</v>
      </c>
      <c r="R9" s="191">
        <v>104.723</v>
      </c>
      <c r="S9" s="191">
        <v>0</v>
      </c>
      <c r="T9" s="191">
        <v>105.621</v>
      </c>
      <c r="U9" s="191">
        <v>105.621</v>
      </c>
      <c r="V9" s="191">
        <v>9.5000000000000001E-2</v>
      </c>
      <c r="W9" s="191">
        <v>105.717</v>
      </c>
      <c r="X9" s="191">
        <v>26.504999999999999</v>
      </c>
      <c r="Y9" s="23">
        <v>79.116</v>
      </c>
      <c r="Z9" s="191"/>
      <c r="AA9" s="191">
        <v>9.5000000000000001E-2</v>
      </c>
      <c r="AB9" s="191"/>
      <c r="AC9" s="23">
        <v>30432</v>
      </c>
      <c r="AD9" s="23">
        <v>92.003</v>
      </c>
      <c r="AE9" s="23"/>
      <c r="AF9" s="23">
        <v>7.6999999999999999E-2</v>
      </c>
      <c r="AG9" s="23"/>
      <c r="AH9" s="23">
        <v>26.504999999999999</v>
      </c>
      <c r="AI9" s="23">
        <v>79.116</v>
      </c>
      <c r="AJ9" s="23"/>
      <c r="AK9" s="23">
        <v>9.5000000000000001E-2</v>
      </c>
      <c r="AL9" s="21"/>
      <c r="AM9" s="23">
        <v>30432</v>
      </c>
      <c r="AN9" s="23">
        <v>92.003</v>
      </c>
      <c r="AO9" s="23"/>
      <c r="AP9" s="23">
        <v>7.6999999999999999E-2</v>
      </c>
      <c r="AQ9" s="23"/>
      <c r="AR9" s="23">
        <v>621.92999999999995</v>
      </c>
      <c r="AS9" s="23">
        <v>74.680000000000007</v>
      </c>
      <c r="AT9" s="23">
        <v>575.51</v>
      </c>
      <c r="AU9" s="23">
        <v>635.71</v>
      </c>
      <c r="AV9" s="23">
        <v>997.05</v>
      </c>
    </row>
    <row r="10" spans="1:48" x14ac:dyDescent="0.25">
      <c r="A10" s="23" t="s">
        <v>697</v>
      </c>
      <c r="B10" s="636" t="s">
        <v>704</v>
      </c>
      <c r="C10" s="566" t="s">
        <v>689</v>
      </c>
      <c r="D10" s="190" t="s">
        <v>690</v>
      </c>
      <c r="E10" s="23" t="s">
        <v>691</v>
      </c>
      <c r="F10" s="191"/>
      <c r="G10" s="191"/>
      <c r="H10" s="191" t="s">
        <v>692</v>
      </c>
      <c r="I10" s="191" t="s">
        <v>693</v>
      </c>
      <c r="J10" s="191" t="s">
        <v>694</v>
      </c>
      <c r="K10" s="641" t="s">
        <v>38</v>
      </c>
      <c r="L10" s="641" t="s">
        <v>38</v>
      </c>
      <c r="M10" s="641" t="s">
        <v>695</v>
      </c>
      <c r="N10" s="191">
        <v>0</v>
      </c>
      <c r="O10" s="191">
        <v>104.621</v>
      </c>
      <c r="P10" s="191">
        <v>104.621</v>
      </c>
      <c r="Q10" s="191">
        <v>9.5000000000000001E-2</v>
      </c>
      <c r="R10" s="191">
        <v>104.717</v>
      </c>
      <c r="S10" s="191">
        <v>0</v>
      </c>
      <c r="T10" s="191">
        <v>105.61499999999999</v>
      </c>
      <c r="U10" s="191">
        <v>105.61499999999999</v>
      </c>
      <c r="V10" s="191">
        <v>9.5000000000000001E-2</v>
      </c>
      <c r="W10" s="191">
        <v>105.711</v>
      </c>
      <c r="X10" s="191">
        <v>26.504000000000001</v>
      </c>
      <c r="Y10" s="23">
        <v>79.111999999999995</v>
      </c>
      <c r="Z10" s="191"/>
      <c r="AA10" s="191">
        <v>9.5000000000000001E-2</v>
      </c>
      <c r="AB10" s="191"/>
      <c r="AC10" s="23">
        <v>30431</v>
      </c>
      <c r="AD10" s="23">
        <v>91.998000000000005</v>
      </c>
      <c r="AE10" s="23"/>
      <c r="AF10" s="23">
        <v>7.6999999999999999E-2</v>
      </c>
      <c r="AG10" s="23"/>
      <c r="AH10" s="23">
        <v>26.504000000000001</v>
      </c>
      <c r="AI10" s="23">
        <v>79.111999999999995</v>
      </c>
      <c r="AJ10" s="23"/>
      <c r="AK10" s="23">
        <v>9.5000000000000001E-2</v>
      </c>
      <c r="AL10" s="21"/>
      <c r="AM10" s="23">
        <v>30431</v>
      </c>
      <c r="AN10" s="23">
        <v>91.998000000000005</v>
      </c>
      <c r="AO10" s="23"/>
      <c r="AP10" s="23">
        <v>7.6999999999999999E-2</v>
      </c>
      <c r="AQ10" s="23"/>
      <c r="AR10" s="23">
        <v>622.01</v>
      </c>
      <c r="AS10" s="23">
        <v>74.64</v>
      </c>
      <c r="AT10" s="23">
        <v>575.54</v>
      </c>
      <c r="AU10" s="23">
        <v>635.74</v>
      </c>
      <c r="AV10" s="23">
        <v>997.05</v>
      </c>
    </row>
    <row r="11" spans="1:48" x14ac:dyDescent="0.25">
      <c r="A11" s="23" t="s">
        <v>697</v>
      </c>
      <c r="B11" s="636" t="s">
        <v>705</v>
      </c>
      <c r="C11" s="566" t="s">
        <v>689</v>
      </c>
      <c r="D11" s="190" t="s">
        <v>690</v>
      </c>
      <c r="E11" s="23" t="s">
        <v>691</v>
      </c>
      <c r="F11" s="191"/>
      <c r="G11" s="191"/>
      <c r="H11" s="191" t="s">
        <v>692</v>
      </c>
      <c r="I11" s="191" t="s">
        <v>693</v>
      </c>
      <c r="J11" s="191" t="s">
        <v>694</v>
      </c>
      <c r="K11" s="641" t="s">
        <v>38</v>
      </c>
      <c r="L11" s="641" t="s">
        <v>38</v>
      </c>
      <c r="M11" s="641" t="s">
        <v>695</v>
      </c>
      <c r="N11" s="191">
        <v>0</v>
      </c>
      <c r="O11" s="191">
        <v>104.627</v>
      </c>
      <c r="P11" s="191">
        <v>104.627</v>
      </c>
      <c r="Q11" s="191">
        <v>9.5000000000000001E-2</v>
      </c>
      <c r="R11" s="191">
        <v>104.723</v>
      </c>
      <c r="S11" s="191">
        <v>0</v>
      </c>
      <c r="T11" s="191">
        <v>105.621</v>
      </c>
      <c r="U11" s="191">
        <v>105.621</v>
      </c>
      <c r="V11" s="191">
        <v>9.5000000000000001E-2</v>
      </c>
      <c r="W11" s="191">
        <v>105.717</v>
      </c>
      <c r="X11" s="191">
        <v>26.504999999999999</v>
      </c>
      <c r="Y11" s="23">
        <v>79.116</v>
      </c>
      <c r="Z11" s="191"/>
      <c r="AA11" s="191">
        <v>9.5000000000000001E-2</v>
      </c>
      <c r="AB11" s="191"/>
      <c r="AC11" s="23">
        <v>30432</v>
      </c>
      <c r="AD11" s="23">
        <v>92.003</v>
      </c>
      <c r="AE11" s="23"/>
      <c r="AF11" s="23">
        <v>7.6999999999999999E-2</v>
      </c>
      <c r="AG11" s="23"/>
      <c r="AH11" s="23">
        <v>26.504999999999999</v>
      </c>
      <c r="AI11" s="23">
        <v>79.116</v>
      </c>
      <c r="AJ11" s="23"/>
      <c r="AK11" s="23">
        <v>9.5000000000000001E-2</v>
      </c>
      <c r="AL11" s="21"/>
      <c r="AM11" s="23">
        <v>30432</v>
      </c>
      <c r="AN11" s="23">
        <v>92.003</v>
      </c>
      <c r="AO11" s="23"/>
      <c r="AP11" s="23">
        <v>7.6999999999999999E-2</v>
      </c>
      <c r="AQ11" s="23"/>
      <c r="AR11" s="23">
        <v>622.08000000000004</v>
      </c>
      <c r="AS11" s="23">
        <v>74.61</v>
      </c>
      <c r="AT11" s="23">
        <v>575.57000000000005</v>
      </c>
      <c r="AU11" s="23">
        <v>635.77</v>
      </c>
      <c r="AV11" s="23">
        <v>997.05</v>
      </c>
    </row>
    <row r="12" spans="1:48" x14ac:dyDescent="0.25">
      <c r="A12" s="23" t="s">
        <v>697</v>
      </c>
      <c r="B12" s="636" t="s">
        <v>706</v>
      </c>
      <c r="C12" s="566" t="s">
        <v>689</v>
      </c>
      <c r="D12" s="190" t="s">
        <v>690</v>
      </c>
      <c r="E12" s="23" t="s">
        <v>691</v>
      </c>
      <c r="F12" s="191"/>
      <c r="G12" s="191"/>
      <c r="H12" s="191" t="s">
        <v>692</v>
      </c>
      <c r="I12" s="191" t="s">
        <v>693</v>
      </c>
      <c r="J12" s="191" t="s">
        <v>694</v>
      </c>
      <c r="K12" s="641" t="s">
        <v>38</v>
      </c>
      <c r="L12" s="641" t="s">
        <v>38</v>
      </c>
      <c r="M12" s="641" t="s">
        <v>695</v>
      </c>
      <c r="N12" s="191">
        <v>0</v>
      </c>
      <c r="O12" s="191">
        <v>104.81399999999999</v>
      </c>
      <c r="P12" s="191">
        <v>104.81399999999999</v>
      </c>
      <c r="Q12" s="191">
        <v>9.6000000000000002E-2</v>
      </c>
      <c r="R12" s="191">
        <v>104.91</v>
      </c>
      <c r="S12" s="191">
        <v>0</v>
      </c>
      <c r="T12" s="191">
        <v>105.81</v>
      </c>
      <c r="U12" s="191">
        <v>105.81</v>
      </c>
      <c r="V12" s="191">
        <v>9.6000000000000002E-2</v>
      </c>
      <c r="W12" s="191">
        <v>105.90600000000001</v>
      </c>
      <c r="X12" s="191">
        <v>26.552</v>
      </c>
      <c r="Y12" s="23">
        <v>79.257999999999996</v>
      </c>
      <c r="Z12" s="191"/>
      <c r="AA12" s="191">
        <v>9.6000000000000002E-2</v>
      </c>
      <c r="AB12" s="191"/>
      <c r="AC12" s="23">
        <v>30487</v>
      </c>
      <c r="AD12" s="23">
        <v>92.168000000000006</v>
      </c>
      <c r="AE12" s="23"/>
      <c r="AF12" s="23">
        <v>7.6999999999999999E-2</v>
      </c>
      <c r="AG12" s="23"/>
      <c r="AH12" s="23">
        <v>26.552</v>
      </c>
      <c r="AI12" s="23">
        <v>79.257999999999996</v>
      </c>
      <c r="AJ12" s="23"/>
      <c r="AK12" s="23">
        <v>9.6000000000000002E-2</v>
      </c>
      <c r="AL12" s="21"/>
      <c r="AM12" s="23">
        <v>30487</v>
      </c>
      <c r="AN12" s="23">
        <v>92.168000000000006</v>
      </c>
      <c r="AO12" s="23"/>
      <c r="AP12" s="23">
        <v>7.6999999999999999E-2</v>
      </c>
      <c r="AQ12" s="23"/>
      <c r="AR12" s="23">
        <v>622.12</v>
      </c>
      <c r="AS12" s="23">
        <v>74.59</v>
      </c>
      <c r="AT12" s="23">
        <v>575.58000000000004</v>
      </c>
      <c r="AU12" s="23">
        <v>635.79</v>
      </c>
      <c r="AV12" s="23">
        <v>997.05</v>
      </c>
    </row>
    <row r="13" spans="1:48" x14ac:dyDescent="0.25">
      <c r="A13" s="192" t="s">
        <v>697</v>
      </c>
      <c r="B13" s="636" t="s">
        <v>707</v>
      </c>
      <c r="C13" s="566" t="s">
        <v>689</v>
      </c>
      <c r="D13" s="190" t="s">
        <v>690</v>
      </c>
      <c r="E13" s="23" t="s">
        <v>691</v>
      </c>
      <c r="F13" s="191"/>
      <c r="G13" s="191"/>
      <c r="H13" s="191" t="s">
        <v>692</v>
      </c>
      <c r="I13" s="191" t="s">
        <v>693</v>
      </c>
      <c r="J13" s="191" t="s">
        <v>694</v>
      </c>
      <c r="K13" s="641" t="s">
        <v>38</v>
      </c>
      <c r="L13" s="641" t="s">
        <v>38</v>
      </c>
      <c r="M13" s="641" t="s">
        <v>695</v>
      </c>
      <c r="N13" s="191">
        <v>0</v>
      </c>
      <c r="O13" s="191">
        <v>105.155</v>
      </c>
      <c r="P13" s="191">
        <v>105.155</v>
      </c>
      <c r="Q13" s="191">
        <v>9.6000000000000002E-2</v>
      </c>
      <c r="R13" s="191">
        <v>105.251</v>
      </c>
      <c r="S13" s="191">
        <v>0</v>
      </c>
      <c r="T13" s="191">
        <v>106.154</v>
      </c>
      <c r="U13" s="191">
        <v>106.154</v>
      </c>
      <c r="V13" s="191">
        <v>9.6000000000000002E-2</v>
      </c>
      <c r="W13" s="191">
        <v>106.25</v>
      </c>
      <c r="X13" s="191">
        <v>26.638999999999999</v>
      </c>
      <c r="Y13" s="23">
        <v>79.515000000000001</v>
      </c>
      <c r="Z13" s="191"/>
      <c r="AA13" s="191">
        <v>9.6000000000000002E-2</v>
      </c>
      <c r="AB13" s="191"/>
      <c r="AC13" s="23">
        <v>30586</v>
      </c>
      <c r="AD13" s="23">
        <v>92.466999999999999</v>
      </c>
      <c r="AE13" s="23"/>
      <c r="AF13" s="23">
        <v>7.6999999999999999E-2</v>
      </c>
      <c r="AG13" s="23"/>
      <c r="AH13" s="23">
        <v>26.638999999999999</v>
      </c>
      <c r="AI13" s="23">
        <v>79.515000000000001</v>
      </c>
      <c r="AJ13" s="23"/>
      <c r="AK13" s="23">
        <v>9.6000000000000002E-2</v>
      </c>
      <c r="AL13" s="21"/>
      <c r="AM13" s="23">
        <v>30586</v>
      </c>
      <c r="AN13" s="23">
        <v>92.466999999999999</v>
      </c>
      <c r="AO13" s="23"/>
      <c r="AP13" s="23">
        <v>7.6999999999999999E-2</v>
      </c>
      <c r="AQ13" s="23"/>
      <c r="AR13" s="23">
        <v>622.11</v>
      </c>
      <c r="AS13" s="23">
        <v>74.58</v>
      </c>
      <c r="AT13" s="23">
        <v>575.59</v>
      </c>
      <c r="AU13" s="23">
        <v>635.79999999999995</v>
      </c>
      <c r="AV13" s="23">
        <v>997.05</v>
      </c>
    </row>
    <row r="14" spans="1:48" x14ac:dyDescent="0.25">
      <c r="A14" s="23" t="s">
        <v>697</v>
      </c>
      <c r="B14" s="635" t="s">
        <v>708</v>
      </c>
      <c r="C14" s="566" t="s">
        <v>689</v>
      </c>
      <c r="D14" s="190" t="s">
        <v>690</v>
      </c>
      <c r="E14" s="23" t="s">
        <v>691</v>
      </c>
      <c r="F14" s="191"/>
      <c r="G14" s="191"/>
      <c r="H14" s="191" t="s">
        <v>692</v>
      </c>
      <c r="I14" s="191" t="s">
        <v>693</v>
      </c>
      <c r="J14" s="191" t="s">
        <v>694</v>
      </c>
      <c r="K14" s="641" t="s">
        <v>38</v>
      </c>
      <c r="L14" s="641" t="s">
        <v>38</v>
      </c>
      <c r="M14" s="641" t="s">
        <v>695</v>
      </c>
      <c r="N14" s="191">
        <v>0</v>
      </c>
      <c r="O14" s="191">
        <v>105.27</v>
      </c>
      <c r="P14" s="191">
        <v>105.27</v>
      </c>
      <c r="Q14" s="191">
        <v>9.6000000000000002E-2</v>
      </c>
      <c r="R14" s="191">
        <v>105.366</v>
      </c>
      <c r="S14" s="191">
        <v>0</v>
      </c>
      <c r="T14" s="191">
        <v>106.27</v>
      </c>
      <c r="U14" s="191">
        <v>106.27</v>
      </c>
      <c r="V14" s="191">
        <v>9.6000000000000002E-2</v>
      </c>
      <c r="W14" s="191">
        <v>106.366</v>
      </c>
      <c r="X14" s="191">
        <v>26.667999999999999</v>
      </c>
      <c r="Y14" s="23">
        <v>79.602000000000004</v>
      </c>
      <c r="Z14" s="191"/>
      <c r="AA14" s="191">
        <v>9.6000000000000002E-2</v>
      </c>
      <c r="AB14" s="191"/>
      <c r="AC14" s="23">
        <v>30619</v>
      </c>
      <c r="AD14" s="23">
        <v>92.567999999999998</v>
      </c>
      <c r="AE14" s="23"/>
      <c r="AF14" s="23">
        <v>7.6999999999999999E-2</v>
      </c>
      <c r="AG14" s="23"/>
      <c r="AH14" s="23">
        <v>26.667999999999999</v>
      </c>
      <c r="AI14" s="23">
        <v>79.602000000000004</v>
      </c>
      <c r="AJ14" s="23"/>
      <c r="AK14" s="23">
        <v>9.6000000000000002E-2</v>
      </c>
      <c r="AL14" s="21"/>
      <c r="AM14" s="23">
        <v>30619</v>
      </c>
      <c r="AN14" s="23">
        <v>92.567999999999998</v>
      </c>
      <c r="AO14" s="23"/>
      <c r="AP14" s="23">
        <v>7.6999999999999999E-2</v>
      </c>
      <c r="AQ14" s="23"/>
      <c r="AR14" s="23">
        <v>622.17999999999995</v>
      </c>
      <c r="AS14" s="23">
        <v>74.56</v>
      </c>
      <c r="AT14" s="23">
        <v>575.61</v>
      </c>
      <c r="AU14" s="23">
        <v>635.82000000000005</v>
      </c>
      <c r="AV14" s="23">
        <v>997.05</v>
      </c>
    </row>
    <row r="15" spans="1:48" x14ac:dyDescent="0.25">
      <c r="A15" s="23" t="s">
        <v>697</v>
      </c>
      <c r="B15" s="636" t="s">
        <v>709</v>
      </c>
      <c r="C15" s="566" t="s">
        <v>689</v>
      </c>
      <c r="D15" s="190" t="s">
        <v>690</v>
      </c>
      <c r="E15" s="23" t="s">
        <v>691</v>
      </c>
      <c r="F15" s="191"/>
      <c r="G15" s="191"/>
      <c r="H15" s="191" t="s">
        <v>692</v>
      </c>
      <c r="I15" s="191" t="s">
        <v>693</v>
      </c>
      <c r="J15" s="191" t="s">
        <v>694</v>
      </c>
      <c r="K15" s="641" t="s">
        <v>38</v>
      </c>
      <c r="L15" s="641" t="s">
        <v>38</v>
      </c>
      <c r="M15" s="641" t="s">
        <v>695</v>
      </c>
      <c r="N15" s="191">
        <v>0</v>
      </c>
      <c r="O15" s="191">
        <v>105.099</v>
      </c>
      <c r="P15" s="191">
        <v>105.099</v>
      </c>
      <c r="Q15" s="191">
        <v>9.6000000000000002E-2</v>
      </c>
      <c r="R15" s="191">
        <v>105.19499999999999</v>
      </c>
      <c r="S15" s="191">
        <v>0</v>
      </c>
      <c r="T15" s="191">
        <v>106.09699999999999</v>
      </c>
      <c r="U15" s="191">
        <v>106.09699999999999</v>
      </c>
      <c r="V15" s="191">
        <v>9.6000000000000002E-2</v>
      </c>
      <c r="W15" s="191">
        <v>106.193</v>
      </c>
      <c r="X15" s="191">
        <v>26.625</v>
      </c>
      <c r="Y15" s="23">
        <v>79.472999999999999</v>
      </c>
      <c r="Z15" s="191"/>
      <c r="AA15" s="191">
        <v>9.6000000000000002E-2</v>
      </c>
      <c r="AB15" s="191"/>
      <c r="AC15" s="23">
        <v>30570</v>
      </c>
      <c r="AD15" s="23">
        <v>92.418000000000006</v>
      </c>
      <c r="AE15" s="23"/>
      <c r="AF15" s="23">
        <v>7.6999999999999999E-2</v>
      </c>
      <c r="AG15" s="23"/>
      <c r="AH15" s="23">
        <v>26.625</v>
      </c>
      <c r="AI15" s="23">
        <v>79.472999999999999</v>
      </c>
      <c r="AJ15" s="23"/>
      <c r="AK15" s="23">
        <v>9.6000000000000002E-2</v>
      </c>
      <c r="AL15" s="21"/>
      <c r="AM15" s="23">
        <v>30570</v>
      </c>
      <c r="AN15" s="23">
        <v>92.418000000000006</v>
      </c>
      <c r="AO15" s="23"/>
      <c r="AP15" s="23">
        <v>7.6999999999999999E-2</v>
      </c>
      <c r="AQ15" s="23"/>
      <c r="AR15" s="23">
        <v>622.28</v>
      </c>
      <c r="AS15" s="23">
        <v>74.52</v>
      </c>
      <c r="AT15" s="23">
        <v>575.64</v>
      </c>
      <c r="AU15" s="23">
        <v>635.85</v>
      </c>
      <c r="AV15" s="23">
        <v>997.05</v>
      </c>
    </row>
    <row r="16" spans="1:48" x14ac:dyDescent="0.25">
      <c r="A16" s="23" t="s">
        <v>697</v>
      </c>
      <c r="B16" s="636" t="s">
        <v>710</v>
      </c>
      <c r="C16" s="566" t="s">
        <v>689</v>
      </c>
      <c r="D16" s="190" t="s">
        <v>690</v>
      </c>
      <c r="E16" s="23" t="s">
        <v>691</v>
      </c>
      <c r="F16" s="191"/>
      <c r="G16" s="191"/>
      <c r="H16" s="191" t="s">
        <v>692</v>
      </c>
      <c r="I16" s="191" t="s">
        <v>693</v>
      </c>
      <c r="J16" s="191" t="s">
        <v>694</v>
      </c>
      <c r="K16" s="641" t="s">
        <v>38</v>
      </c>
      <c r="L16" s="641" t="s">
        <v>38</v>
      </c>
      <c r="M16" s="641" t="s">
        <v>695</v>
      </c>
      <c r="N16" s="191">
        <v>0</v>
      </c>
      <c r="O16" s="191">
        <v>104.89100000000001</v>
      </c>
      <c r="P16" s="191">
        <v>104.89100000000001</v>
      </c>
      <c r="Q16" s="191">
        <v>9.6000000000000002E-2</v>
      </c>
      <c r="R16" s="191">
        <v>104.986</v>
      </c>
      <c r="S16" s="191">
        <v>0</v>
      </c>
      <c r="T16" s="191">
        <v>105.887</v>
      </c>
      <c r="U16" s="191">
        <v>105.887</v>
      </c>
      <c r="V16" s="191">
        <v>9.6000000000000002E-2</v>
      </c>
      <c r="W16" s="191">
        <v>105.983</v>
      </c>
      <c r="X16" s="191">
        <v>26.571999999999999</v>
      </c>
      <c r="Y16" s="23">
        <v>79.316000000000003</v>
      </c>
      <c r="Z16" s="191"/>
      <c r="AA16" s="191">
        <v>9.6000000000000002E-2</v>
      </c>
      <c r="AB16" s="191"/>
      <c r="AC16" s="23">
        <v>30509</v>
      </c>
      <c r="AD16" s="23">
        <v>92.234999999999999</v>
      </c>
      <c r="AE16" s="23"/>
      <c r="AF16" s="23">
        <v>7.6999999999999999E-2</v>
      </c>
      <c r="AG16" s="23"/>
      <c r="AH16" s="23">
        <v>26.571999999999999</v>
      </c>
      <c r="AI16" s="23">
        <v>79.316000000000003</v>
      </c>
      <c r="AJ16" s="23"/>
      <c r="AK16" s="23">
        <v>9.6000000000000002E-2</v>
      </c>
      <c r="AL16" s="21"/>
      <c r="AM16" s="23">
        <v>30509</v>
      </c>
      <c r="AN16" s="23">
        <v>92.234999999999999</v>
      </c>
      <c r="AO16" s="23"/>
      <c r="AP16" s="23">
        <v>7.6999999999999999E-2</v>
      </c>
      <c r="AQ16" s="23"/>
      <c r="AR16" s="23">
        <v>622.39</v>
      </c>
      <c r="AS16" s="23">
        <v>74.47</v>
      </c>
      <c r="AT16" s="23">
        <v>575.67999999999995</v>
      </c>
      <c r="AU16" s="23">
        <v>635.9</v>
      </c>
      <c r="AV16" s="23">
        <v>997.05</v>
      </c>
    </row>
    <row r="17" spans="1:48" x14ac:dyDescent="0.25">
      <c r="A17" s="23" t="s">
        <v>697</v>
      </c>
      <c r="B17" s="636" t="s">
        <v>711</v>
      </c>
      <c r="C17" s="566" t="s">
        <v>689</v>
      </c>
      <c r="D17" s="190" t="s">
        <v>690</v>
      </c>
      <c r="E17" s="23" t="s">
        <v>691</v>
      </c>
      <c r="F17" s="191"/>
      <c r="G17" s="191"/>
      <c r="H17" s="191" t="s">
        <v>692</v>
      </c>
      <c r="I17" s="191" t="s">
        <v>693</v>
      </c>
      <c r="J17" s="191" t="s">
        <v>694</v>
      </c>
      <c r="K17" s="641" t="s">
        <v>38</v>
      </c>
      <c r="L17" s="641" t="s">
        <v>38</v>
      </c>
      <c r="M17" s="641" t="s">
        <v>695</v>
      </c>
      <c r="N17" s="191">
        <v>0</v>
      </c>
      <c r="O17" s="191">
        <v>104.84</v>
      </c>
      <c r="P17" s="191">
        <v>104.84</v>
      </c>
      <c r="Q17" s="191">
        <v>9.6000000000000002E-2</v>
      </c>
      <c r="R17" s="191">
        <v>104.935</v>
      </c>
      <c r="S17" s="191">
        <v>0</v>
      </c>
      <c r="T17" s="191">
        <v>105.836</v>
      </c>
      <c r="U17" s="191">
        <v>105.836</v>
      </c>
      <c r="V17" s="191">
        <v>9.6000000000000002E-2</v>
      </c>
      <c r="W17" s="191">
        <v>105.931</v>
      </c>
      <c r="X17" s="191">
        <v>26.559000000000001</v>
      </c>
      <c r="Y17" s="23">
        <v>79.277000000000001</v>
      </c>
      <c r="Z17" s="191"/>
      <c r="AA17" s="191">
        <v>9.6000000000000002E-2</v>
      </c>
      <c r="AB17" s="191"/>
      <c r="AC17" s="23">
        <v>30494</v>
      </c>
      <c r="AD17" s="23">
        <v>92.19</v>
      </c>
      <c r="AE17" s="23"/>
      <c r="AF17" s="23">
        <v>7.6999999999999999E-2</v>
      </c>
      <c r="AG17" s="23"/>
      <c r="AH17" s="23">
        <v>26.559000000000001</v>
      </c>
      <c r="AI17" s="23">
        <v>79.277000000000001</v>
      </c>
      <c r="AJ17" s="23"/>
      <c r="AK17" s="23">
        <v>9.6000000000000002E-2</v>
      </c>
      <c r="AL17" s="21"/>
      <c r="AM17" s="23">
        <v>30494</v>
      </c>
      <c r="AN17" s="23">
        <v>92.19</v>
      </c>
      <c r="AO17" s="23"/>
      <c r="AP17" s="23">
        <v>7.6999999999999999E-2</v>
      </c>
      <c r="AQ17" s="23"/>
      <c r="AR17" s="23">
        <v>622.45000000000005</v>
      </c>
      <c r="AS17" s="23">
        <v>74.44</v>
      </c>
      <c r="AT17" s="23">
        <v>575.70000000000005</v>
      </c>
      <c r="AU17" s="23">
        <v>635.91999999999996</v>
      </c>
      <c r="AV17" s="23">
        <v>997.05</v>
      </c>
    </row>
    <row r="18" spans="1:48" x14ac:dyDescent="0.25">
      <c r="A18" s="23" t="s">
        <v>697</v>
      </c>
      <c r="B18" s="636" t="s">
        <v>712</v>
      </c>
      <c r="C18" s="566" t="s">
        <v>689</v>
      </c>
      <c r="D18" s="190" t="s">
        <v>690</v>
      </c>
      <c r="E18" s="23" t="s">
        <v>691</v>
      </c>
      <c r="F18" s="191"/>
      <c r="G18" s="191"/>
      <c r="H18" s="191" t="s">
        <v>692</v>
      </c>
      <c r="I18" s="191" t="s">
        <v>693</v>
      </c>
      <c r="J18" s="191" t="s">
        <v>694</v>
      </c>
      <c r="K18" s="641" t="s">
        <v>38</v>
      </c>
      <c r="L18" s="641" t="s">
        <v>38</v>
      </c>
      <c r="M18" s="641" t="s">
        <v>695</v>
      </c>
      <c r="N18" s="191">
        <v>0</v>
      </c>
      <c r="O18" s="191">
        <v>104.821</v>
      </c>
      <c r="P18" s="191">
        <v>104.821</v>
      </c>
      <c r="Q18" s="191">
        <v>9.6000000000000002E-2</v>
      </c>
      <c r="R18" s="191">
        <v>104.917</v>
      </c>
      <c r="S18" s="191">
        <v>0</v>
      </c>
      <c r="T18" s="191">
        <v>105.81699999999999</v>
      </c>
      <c r="U18" s="191">
        <v>105.81699999999999</v>
      </c>
      <c r="V18" s="191">
        <v>9.6000000000000002E-2</v>
      </c>
      <c r="W18" s="191">
        <v>105.913</v>
      </c>
      <c r="X18" s="191">
        <v>26.553999999999998</v>
      </c>
      <c r="Y18" s="23">
        <v>79.263000000000005</v>
      </c>
      <c r="Z18" s="191"/>
      <c r="AA18" s="191">
        <v>9.6000000000000002E-2</v>
      </c>
      <c r="AB18" s="191"/>
      <c r="AC18" s="23">
        <v>30489</v>
      </c>
      <c r="AD18" s="23">
        <v>92.174000000000007</v>
      </c>
      <c r="AE18" s="23"/>
      <c r="AF18" s="23">
        <v>7.6999999999999999E-2</v>
      </c>
      <c r="AG18" s="23"/>
      <c r="AH18" s="23">
        <v>26.553999999999998</v>
      </c>
      <c r="AI18" s="23">
        <v>79.263000000000005</v>
      </c>
      <c r="AJ18" s="23"/>
      <c r="AK18" s="23">
        <v>9.6000000000000002E-2</v>
      </c>
      <c r="AL18" s="21"/>
      <c r="AM18" s="23">
        <v>30489</v>
      </c>
      <c r="AN18" s="23">
        <v>92.174000000000007</v>
      </c>
      <c r="AO18" s="23"/>
      <c r="AP18" s="23">
        <v>7.6999999999999999E-2</v>
      </c>
      <c r="AQ18" s="23"/>
      <c r="AR18" s="23">
        <v>622.51</v>
      </c>
      <c r="AS18" s="23">
        <v>74.44</v>
      </c>
      <c r="AT18" s="23">
        <v>575.70000000000005</v>
      </c>
      <c r="AU18" s="23">
        <v>635.92999999999995</v>
      </c>
      <c r="AV18" s="23">
        <v>997.05</v>
      </c>
    </row>
    <row r="19" spans="1:48" x14ac:dyDescent="0.25">
      <c r="A19" s="23" t="s">
        <v>697</v>
      </c>
      <c r="B19" s="636" t="s">
        <v>713</v>
      </c>
      <c r="C19" s="566" t="s">
        <v>689</v>
      </c>
      <c r="D19" s="190" t="s">
        <v>690</v>
      </c>
      <c r="E19" s="23" t="s">
        <v>691</v>
      </c>
      <c r="F19" s="191"/>
      <c r="G19" s="191"/>
      <c r="H19" s="191" t="s">
        <v>692</v>
      </c>
      <c r="I19" s="191" t="s">
        <v>693</v>
      </c>
      <c r="J19" s="191" t="s">
        <v>694</v>
      </c>
      <c r="K19" s="641" t="s">
        <v>38</v>
      </c>
      <c r="L19" s="641" t="s">
        <v>38</v>
      </c>
      <c r="M19" s="641" t="s">
        <v>695</v>
      </c>
      <c r="N19" s="191">
        <v>0</v>
      </c>
      <c r="O19" s="191">
        <v>104.78400000000001</v>
      </c>
      <c r="P19" s="191">
        <v>104.78400000000001</v>
      </c>
      <c r="Q19" s="191">
        <v>9.6000000000000002E-2</v>
      </c>
      <c r="R19" s="191">
        <v>104.879</v>
      </c>
      <c r="S19" s="191">
        <v>0</v>
      </c>
      <c r="T19" s="191">
        <v>105.779</v>
      </c>
      <c r="U19" s="191">
        <v>105.779</v>
      </c>
      <c r="V19" s="191">
        <v>9.6000000000000002E-2</v>
      </c>
      <c r="W19" s="191">
        <v>105.875</v>
      </c>
      <c r="X19" s="191">
        <v>26.545000000000002</v>
      </c>
      <c r="Y19" s="23">
        <v>79.234999999999999</v>
      </c>
      <c r="Z19" s="191"/>
      <c r="AA19" s="191">
        <v>9.6000000000000002E-2</v>
      </c>
      <c r="AB19" s="191"/>
      <c r="AC19" s="23">
        <v>30478</v>
      </c>
      <c r="AD19" s="23">
        <v>92.141000000000005</v>
      </c>
      <c r="AE19" s="23"/>
      <c r="AF19" s="23">
        <v>7.6999999999999999E-2</v>
      </c>
      <c r="AG19" s="23"/>
      <c r="AH19" s="23">
        <v>26.545000000000002</v>
      </c>
      <c r="AI19" s="23">
        <v>79.234999999999999</v>
      </c>
      <c r="AJ19" s="23"/>
      <c r="AK19" s="23">
        <v>9.6000000000000002E-2</v>
      </c>
      <c r="AL19" s="21"/>
      <c r="AM19" s="23">
        <v>30478</v>
      </c>
      <c r="AN19" s="23">
        <v>92.141000000000005</v>
      </c>
      <c r="AO19" s="23"/>
      <c r="AP19" s="23">
        <v>7.6999999999999999E-2</v>
      </c>
      <c r="AQ19" s="23"/>
      <c r="AR19" s="23">
        <v>622.55999999999995</v>
      </c>
      <c r="AS19" s="23">
        <v>74.430000000000007</v>
      </c>
      <c r="AT19" s="23">
        <v>575.71</v>
      </c>
      <c r="AU19" s="23">
        <v>635.94000000000005</v>
      </c>
      <c r="AV19" s="23">
        <v>997.05</v>
      </c>
    </row>
    <row r="20" spans="1:48" x14ac:dyDescent="0.25">
      <c r="A20" s="23" t="s">
        <v>697</v>
      </c>
      <c r="B20" s="636" t="s">
        <v>714</v>
      </c>
      <c r="C20" s="566" t="s">
        <v>689</v>
      </c>
      <c r="D20" s="190" t="s">
        <v>690</v>
      </c>
      <c r="E20" s="23" t="s">
        <v>691</v>
      </c>
      <c r="F20" s="191"/>
      <c r="G20" s="191"/>
      <c r="H20" s="191" t="s">
        <v>692</v>
      </c>
      <c r="I20" s="191" t="s">
        <v>693</v>
      </c>
      <c r="J20" s="191" t="s">
        <v>694</v>
      </c>
      <c r="K20" s="641" t="s">
        <v>38</v>
      </c>
      <c r="L20" s="641" t="s">
        <v>38</v>
      </c>
      <c r="M20" s="641" t="s">
        <v>695</v>
      </c>
      <c r="N20" s="191">
        <v>0</v>
      </c>
      <c r="O20" s="191">
        <v>104.842</v>
      </c>
      <c r="P20" s="191">
        <v>104.842</v>
      </c>
      <c r="Q20" s="191">
        <v>9.6000000000000002E-2</v>
      </c>
      <c r="R20" s="191">
        <v>104.937</v>
      </c>
      <c r="S20" s="191">
        <v>0</v>
      </c>
      <c r="T20" s="191">
        <v>105.83799999999999</v>
      </c>
      <c r="U20" s="191">
        <v>105.83799999999999</v>
      </c>
      <c r="V20" s="191">
        <v>9.6000000000000002E-2</v>
      </c>
      <c r="W20" s="191">
        <v>105.93300000000001</v>
      </c>
      <c r="X20" s="191">
        <v>26.559000000000001</v>
      </c>
      <c r="Y20" s="23">
        <v>79.278999999999996</v>
      </c>
      <c r="Z20" s="191"/>
      <c r="AA20" s="191">
        <v>9.6000000000000002E-2</v>
      </c>
      <c r="AB20" s="191"/>
      <c r="AC20" s="23">
        <v>30495</v>
      </c>
      <c r="AD20" s="23">
        <v>92.191999999999993</v>
      </c>
      <c r="AE20" s="23"/>
      <c r="AF20" s="23">
        <v>7.6999999999999999E-2</v>
      </c>
      <c r="AG20" s="23"/>
      <c r="AH20" s="23">
        <v>26.559000000000001</v>
      </c>
      <c r="AI20" s="23">
        <v>79.278999999999996</v>
      </c>
      <c r="AJ20" s="23"/>
      <c r="AK20" s="23">
        <v>9.6000000000000002E-2</v>
      </c>
      <c r="AL20" s="21"/>
      <c r="AM20" s="23">
        <v>30495</v>
      </c>
      <c r="AN20" s="23">
        <v>92.191999999999993</v>
      </c>
      <c r="AO20" s="23"/>
      <c r="AP20" s="23">
        <v>7.6999999999999999E-2</v>
      </c>
      <c r="AQ20" s="23"/>
      <c r="AR20" s="23">
        <v>622.59</v>
      </c>
      <c r="AS20" s="23">
        <v>74.42</v>
      </c>
      <c r="AT20" s="23">
        <v>575.72</v>
      </c>
      <c r="AU20" s="23">
        <v>635.95000000000005</v>
      </c>
      <c r="AV20" s="23">
        <v>997.05</v>
      </c>
    </row>
    <row r="21" spans="1:48" x14ac:dyDescent="0.25">
      <c r="A21" s="23" t="s">
        <v>697</v>
      </c>
      <c r="B21" s="636" t="s">
        <v>715</v>
      </c>
      <c r="C21" s="566" t="s">
        <v>689</v>
      </c>
      <c r="D21" s="190" t="s">
        <v>690</v>
      </c>
      <c r="E21" s="23" t="s">
        <v>691</v>
      </c>
      <c r="F21" s="191"/>
      <c r="G21" s="191"/>
      <c r="H21" s="191" t="s">
        <v>692</v>
      </c>
      <c r="I21" s="191" t="s">
        <v>693</v>
      </c>
      <c r="J21" s="191" t="s">
        <v>694</v>
      </c>
      <c r="K21" s="641" t="s">
        <v>38</v>
      </c>
      <c r="L21" s="641" t="s">
        <v>38</v>
      </c>
      <c r="M21" s="641" t="s">
        <v>695</v>
      </c>
      <c r="N21" s="191">
        <v>0</v>
      </c>
      <c r="O21" s="191">
        <v>104.831</v>
      </c>
      <c r="P21" s="191">
        <v>104.831</v>
      </c>
      <c r="Q21" s="191">
        <v>9.6000000000000002E-2</v>
      </c>
      <c r="R21" s="191">
        <v>104.92700000000001</v>
      </c>
      <c r="S21" s="191">
        <v>0</v>
      </c>
      <c r="T21" s="191">
        <v>105.827</v>
      </c>
      <c r="U21" s="191">
        <v>105.827</v>
      </c>
      <c r="V21" s="191">
        <v>9.6000000000000002E-2</v>
      </c>
      <c r="W21" s="191">
        <v>105.923</v>
      </c>
      <c r="X21" s="191">
        <v>26.556999999999999</v>
      </c>
      <c r="Y21" s="23">
        <v>79.271000000000001</v>
      </c>
      <c r="Z21" s="191"/>
      <c r="AA21" s="191">
        <v>9.6000000000000002E-2</v>
      </c>
      <c r="AB21" s="191"/>
      <c r="AC21" s="23">
        <v>30492</v>
      </c>
      <c r="AD21" s="23">
        <v>92.183000000000007</v>
      </c>
      <c r="AE21" s="23"/>
      <c r="AF21" s="23">
        <v>7.6999999999999999E-2</v>
      </c>
      <c r="AG21" s="23"/>
      <c r="AH21" s="23">
        <v>26.556999999999999</v>
      </c>
      <c r="AI21" s="23">
        <v>79.271000000000001</v>
      </c>
      <c r="AJ21" s="23"/>
      <c r="AK21" s="23">
        <v>9.6000000000000002E-2</v>
      </c>
      <c r="AL21" s="21"/>
      <c r="AM21" s="23">
        <v>30492</v>
      </c>
      <c r="AN21" s="23">
        <v>92.183000000000007</v>
      </c>
      <c r="AO21" s="23"/>
      <c r="AP21" s="23">
        <v>7.6999999999999999E-2</v>
      </c>
      <c r="AQ21" s="23"/>
      <c r="AR21" s="23">
        <v>622.63</v>
      </c>
      <c r="AS21" s="23">
        <v>74.400000000000006</v>
      </c>
      <c r="AT21" s="23">
        <v>575.73</v>
      </c>
      <c r="AU21" s="23">
        <v>635.96</v>
      </c>
      <c r="AV21" s="23">
        <v>997.05</v>
      </c>
    </row>
    <row r="22" spans="1:48" x14ac:dyDescent="0.25">
      <c r="A22" s="23" t="s">
        <v>697</v>
      </c>
      <c r="B22" s="636" t="s">
        <v>716</v>
      </c>
      <c r="C22" s="566" t="s">
        <v>689</v>
      </c>
      <c r="D22" s="190" t="s">
        <v>690</v>
      </c>
      <c r="E22" s="23" t="s">
        <v>691</v>
      </c>
      <c r="F22" s="191"/>
      <c r="G22" s="191"/>
      <c r="H22" s="191" t="s">
        <v>692</v>
      </c>
      <c r="I22" s="191" t="s">
        <v>693</v>
      </c>
      <c r="J22" s="191" t="s">
        <v>694</v>
      </c>
      <c r="K22" s="641" t="s">
        <v>38</v>
      </c>
      <c r="L22" s="641" t="s">
        <v>38</v>
      </c>
      <c r="M22" s="641" t="s">
        <v>695</v>
      </c>
      <c r="N22" s="191">
        <v>0</v>
      </c>
      <c r="O22" s="191">
        <v>126.624</v>
      </c>
      <c r="P22" s="191">
        <v>126.624</v>
      </c>
      <c r="Q22" s="191">
        <v>0.11600000000000001</v>
      </c>
      <c r="R22" s="191">
        <v>126.74</v>
      </c>
      <c r="S22" s="191">
        <v>0</v>
      </c>
      <c r="T22" s="191">
        <v>127.827</v>
      </c>
      <c r="U22" s="191">
        <v>127.827</v>
      </c>
      <c r="V22" s="191">
        <v>0.11600000000000001</v>
      </c>
      <c r="W22" s="191">
        <v>127.943</v>
      </c>
      <c r="X22" s="191">
        <v>32.076999999999998</v>
      </c>
      <c r="Y22" s="23">
        <v>95.75</v>
      </c>
      <c r="Z22" s="191"/>
      <c r="AA22" s="191">
        <v>0.11600000000000001</v>
      </c>
      <c r="AB22" s="191"/>
      <c r="AC22" s="23">
        <v>36831</v>
      </c>
      <c r="AD22" s="23">
        <v>111.346</v>
      </c>
      <c r="AE22" s="23"/>
      <c r="AF22" s="23">
        <v>9.2999999999999999E-2</v>
      </c>
      <c r="AG22" s="23"/>
      <c r="AH22" s="23">
        <v>32.076999999999998</v>
      </c>
      <c r="AI22" s="23">
        <v>95.75</v>
      </c>
      <c r="AJ22" s="23"/>
      <c r="AK22" s="23">
        <v>0.11600000000000001</v>
      </c>
      <c r="AL22" s="21"/>
      <c r="AM22" s="23">
        <v>36831</v>
      </c>
      <c r="AN22" s="23">
        <v>111.346</v>
      </c>
      <c r="AO22" s="23"/>
      <c r="AP22" s="23">
        <v>9.2999999999999999E-2</v>
      </c>
      <c r="AQ22" s="23"/>
      <c r="AR22" s="23">
        <v>610.45000000000005</v>
      </c>
      <c r="AS22" s="23">
        <v>75.09</v>
      </c>
      <c r="AT22" s="23">
        <v>575.19000000000005</v>
      </c>
      <c r="AU22" s="23">
        <v>634.17999999999995</v>
      </c>
      <c r="AV22" s="23">
        <v>997.05</v>
      </c>
    </row>
    <row r="23" spans="1:48" x14ac:dyDescent="0.25">
      <c r="A23" s="23" t="s">
        <v>697</v>
      </c>
      <c r="B23" s="636" t="s">
        <v>717</v>
      </c>
      <c r="C23" s="566" t="s">
        <v>689</v>
      </c>
      <c r="D23" s="190" t="s">
        <v>690</v>
      </c>
      <c r="E23" s="23" t="s">
        <v>691</v>
      </c>
      <c r="F23" s="191"/>
      <c r="G23" s="191"/>
      <c r="H23" s="191" t="s">
        <v>692</v>
      </c>
      <c r="I23" s="191" t="s">
        <v>693</v>
      </c>
      <c r="J23" s="191" t="s">
        <v>694</v>
      </c>
      <c r="K23" s="641" t="s">
        <v>38</v>
      </c>
      <c r="L23" s="641" t="s">
        <v>38</v>
      </c>
      <c r="M23" s="641" t="s">
        <v>695</v>
      </c>
      <c r="N23" s="191">
        <v>0</v>
      </c>
      <c r="O23" s="191">
        <v>418.07499999999999</v>
      </c>
      <c r="P23" s="191">
        <v>418.07499999999999</v>
      </c>
      <c r="Q23" s="191">
        <v>1.421</v>
      </c>
      <c r="R23" s="191">
        <v>419.49599999999998</v>
      </c>
      <c r="S23" s="191">
        <v>0</v>
      </c>
      <c r="T23" s="191">
        <v>422.04599999999999</v>
      </c>
      <c r="U23" s="191">
        <v>422.04599999999999</v>
      </c>
      <c r="V23" s="191">
        <v>1.421</v>
      </c>
      <c r="W23" s="191">
        <v>423.46699999999998</v>
      </c>
      <c r="X23" s="191">
        <v>105.91</v>
      </c>
      <c r="Y23" s="23">
        <v>316.137</v>
      </c>
      <c r="Z23" s="191"/>
      <c r="AA23" s="191">
        <v>1.421</v>
      </c>
      <c r="AB23" s="191"/>
      <c r="AC23" s="23">
        <v>121603</v>
      </c>
      <c r="AD23" s="23">
        <v>367.63099999999997</v>
      </c>
      <c r="AE23" s="23"/>
      <c r="AF23" s="23">
        <v>1.141</v>
      </c>
      <c r="AG23" s="23"/>
      <c r="AH23" s="23">
        <v>105.91</v>
      </c>
      <c r="AI23" s="23">
        <v>316.137</v>
      </c>
      <c r="AJ23" s="23"/>
      <c r="AK23" s="23">
        <v>1.421</v>
      </c>
      <c r="AL23" s="21"/>
      <c r="AM23" s="23">
        <v>121603</v>
      </c>
      <c r="AN23" s="23">
        <v>367.63099999999997</v>
      </c>
      <c r="AO23" s="23"/>
      <c r="AP23" s="23">
        <v>1.141</v>
      </c>
      <c r="AQ23" s="23"/>
      <c r="AR23" s="23">
        <v>493.17</v>
      </c>
      <c r="AS23" s="23">
        <v>82.38</v>
      </c>
      <c r="AT23" s="23">
        <v>569.33000000000004</v>
      </c>
      <c r="AU23" s="23">
        <v>614.73</v>
      </c>
      <c r="AV23" s="23">
        <v>997.05</v>
      </c>
    </row>
    <row r="24" spans="1:48" x14ac:dyDescent="0.25">
      <c r="A24" s="23" t="s">
        <v>697</v>
      </c>
      <c r="B24" s="636" t="s">
        <v>718</v>
      </c>
      <c r="C24" s="566" t="s">
        <v>689</v>
      </c>
      <c r="D24" s="190" t="s">
        <v>690</v>
      </c>
      <c r="E24" s="23" t="s">
        <v>691</v>
      </c>
      <c r="F24" s="191"/>
      <c r="G24" s="191"/>
      <c r="H24" s="191" t="s">
        <v>692</v>
      </c>
      <c r="I24" s="191" t="s">
        <v>693</v>
      </c>
      <c r="J24" s="191" t="s">
        <v>694</v>
      </c>
      <c r="K24" s="641" t="s">
        <v>38</v>
      </c>
      <c r="L24" s="641" t="s">
        <v>38</v>
      </c>
      <c r="M24" s="641" t="s">
        <v>695</v>
      </c>
      <c r="N24" s="191">
        <v>0</v>
      </c>
      <c r="O24" s="191">
        <v>431.61099999999999</v>
      </c>
      <c r="P24" s="191">
        <v>431.61099999999999</v>
      </c>
      <c r="Q24" s="191">
        <v>0.42699999999999999</v>
      </c>
      <c r="R24" s="191">
        <v>432.03699999999998</v>
      </c>
      <c r="S24" s="191">
        <v>0</v>
      </c>
      <c r="T24" s="191">
        <v>435.71100000000001</v>
      </c>
      <c r="U24" s="191">
        <v>435.71100000000001</v>
      </c>
      <c r="V24" s="191">
        <v>0.42699999999999999</v>
      </c>
      <c r="W24" s="191">
        <v>436.13799999999998</v>
      </c>
      <c r="X24" s="191">
        <v>109.339</v>
      </c>
      <c r="Y24" s="23">
        <v>326.37200000000001</v>
      </c>
      <c r="Z24" s="191"/>
      <c r="AA24" s="191">
        <v>0.42699999999999999</v>
      </c>
      <c r="AB24" s="191"/>
      <c r="AC24" s="23">
        <v>125540</v>
      </c>
      <c r="AD24" s="23">
        <v>379.53399999999999</v>
      </c>
      <c r="AE24" s="23"/>
      <c r="AF24" s="23">
        <v>0.34300000000000003</v>
      </c>
      <c r="AG24" s="23"/>
      <c r="AH24" s="23">
        <v>109.339</v>
      </c>
      <c r="AI24" s="23">
        <v>326.37200000000001</v>
      </c>
      <c r="AJ24" s="23"/>
      <c r="AK24" s="23">
        <v>0.42699999999999999</v>
      </c>
      <c r="AL24" s="21"/>
      <c r="AM24" s="23">
        <v>125540</v>
      </c>
      <c r="AN24" s="23">
        <v>379.53399999999999</v>
      </c>
      <c r="AO24" s="23"/>
      <c r="AP24" s="23">
        <v>0.34300000000000003</v>
      </c>
      <c r="AQ24" s="23"/>
      <c r="AR24" s="23">
        <v>490.86</v>
      </c>
      <c r="AS24" s="23">
        <v>84.26</v>
      </c>
      <c r="AT24" s="23">
        <v>567.88</v>
      </c>
      <c r="AU24" s="23">
        <v>613.04</v>
      </c>
      <c r="AV24" s="23">
        <v>997.05</v>
      </c>
    </row>
    <row r="25" spans="1:48" x14ac:dyDescent="0.25">
      <c r="A25" s="23" t="s">
        <v>697</v>
      </c>
      <c r="B25" s="636" t="s">
        <v>719</v>
      </c>
      <c r="C25" s="566" t="s">
        <v>689</v>
      </c>
      <c r="D25" s="190" t="s">
        <v>690</v>
      </c>
      <c r="E25" s="23" t="s">
        <v>691</v>
      </c>
      <c r="F25" s="191"/>
      <c r="G25" s="191"/>
      <c r="H25" s="191" t="s">
        <v>692</v>
      </c>
      <c r="I25" s="191" t="s">
        <v>693</v>
      </c>
      <c r="J25" s="191" t="s">
        <v>694</v>
      </c>
      <c r="K25" s="641" t="s">
        <v>38</v>
      </c>
      <c r="L25" s="641" t="s">
        <v>38</v>
      </c>
      <c r="M25" s="641" t="s">
        <v>695</v>
      </c>
      <c r="N25" s="191">
        <v>0</v>
      </c>
      <c r="O25" s="191">
        <v>426.73500000000001</v>
      </c>
      <c r="P25" s="191">
        <v>426.73500000000001</v>
      </c>
      <c r="Q25" s="191">
        <v>0.36299999999999999</v>
      </c>
      <c r="R25" s="191">
        <v>427.09899999999999</v>
      </c>
      <c r="S25" s="191">
        <v>0</v>
      </c>
      <c r="T25" s="191">
        <v>430.78899999999999</v>
      </c>
      <c r="U25" s="191">
        <v>430.78899999999999</v>
      </c>
      <c r="V25" s="191">
        <v>0.36299999999999999</v>
      </c>
      <c r="W25" s="191">
        <v>431.15300000000002</v>
      </c>
      <c r="X25" s="191">
        <v>108.104</v>
      </c>
      <c r="Y25" s="23">
        <v>322.68599999999998</v>
      </c>
      <c r="Z25" s="191"/>
      <c r="AA25" s="191">
        <v>0.36299999999999999</v>
      </c>
      <c r="AB25" s="191"/>
      <c r="AC25" s="23">
        <v>124122</v>
      </c>
      <c r="AD25" s="23">
        <v>375.24599999999998</v>
      </c>
      <c r="AE25" s="23"/>
      <c r="AF25" s="23">
        <v>0.29199999999999998</v>
      </c>
      <c r="AG25" s="23"/>
      <c r="AH25" s="23">
        <v>108.104</v>
      </c>
      <c r="AI25" s="23">
        <v>322.68599999999998</v>
      </c>
      <c r="AJ25" s="23"/>
      <c r="AK25" s="23">
        <v>0.36299999999999999</v>
      </c>
      <c r="AL25" s="21"/>
      <c r="AM25" s="23">
        <v>124122</v>
      </c>
      <c r="AN25" s="23">
        <v>375.24599999999998</v>
      </c>
      <c r="AO25" s="23"/>
      <c r="AP25" s="23">
        <v>0.29199999999999998</v>
      </c>
      <c r="AQ25" s="23"/>
      <c r="AR25" s="23">
        <v>492.46</v>
      </c>
      <c r="AS25" s="23">
        <v>84.67</v>
      </c>
      <c r="AT25" s="23">
        <v>567.55999999999995</v>
      </c>
      <c r="AU25" s="23">
        <v>612.97</v>
      </c>
      <c r="AV25" s="23">
        <v>997.05</v>
      </c>
    </row>
    <row r="26" spans="1:48" hidden="1" x14ac:dyDescent="0.25">
      <c r="A26" s="668" t="s">
        <v>687</v>
      </c>
      <c r="B26" s="731" t="s">
        <v>710</v>
      </c>
      <c r="C26" s="668" t="s">
        <v>38</v>
      </c>
      <c r="D26" s="668">
        <v>569.41</v>
      </c>
      <c r="E26" s="668">
        <v>997.05</v>
      </c>
      <c r="F26" s="668">
        <v>622.27</v>
      </c>
      <c r="G26" s="668">
        <v>0</v>
      </c>
      <c r="H26" s="668">
        <v>306.61700000000002</v>
      </c>
      <c r="I26" s="668">
        <v>306.81400000000002</v>
      </c>
      <c r="J26" s="668">
        <v>0.19700000000000001</v>
      </c>
      <c r="K26" s="732">
        <v>306.61700000000002</v>
      </c>
      <c r="L26" s="732">
        <v>0</v>
      </c>
      <c r="M26" s="732">
        <v>306.61700000000002</v>
      </c>
      <c r="N26" s="668">
        <v>306.81400000000002</v>
      </c>
      <c r="O26" s="668"/>
      <c r="P26" s="733"/>
      <c r="Q26" s="668">
        <v>76.944000000000003</v>
      </c>
      <c r="R26" s="668">
        <v>0.19700000000000001</v>
      </c>
      <c r="S26" s="668">
        <v>229.67400000000001</v>
      </c>
      <c r="T26" s="668">
        <v>88345</v>
      </c>
      <c r="U26" s="733"/>
      <c r="V26" s="668">
        <v>267.084</v>
      </c>
      <c r="W26" s="668">
        <v>76.944000000000003</v>
      </c>
      <c r="X26" s="668">
        <v>0.19700000000000001</v>
      </c>
      <c r="Y26" s="668">
        <v>229.67400000000001</v>
      </c>
      <c r="Z26" s="733"/>
      <c r="AA26" s="668">
        <v>0.158</v>
      </c>
      <c r="AB26" s="668">
        <v>267.084</v>
      </c>
      <c r="AC26" s="668">
        <v>549.88</v>
      </c>
      <c r="AD26" s="668">
        <v>82.34</v>
      </c>
      <c r="AE26" s="733"/>
      <c r="AF26" s="733"/>
      <c r="AG26" s="733"/>
      <c r="AH26" s="733"/>
      <c r="AI26" s="733"/>
      <c r="AJ26" s="733"/>
      <c r="AK26" s="733"/>
      <c r="AL26" s="9"/>
      <c r="AM26" s="733"/>
      <c r="AN26" s="733"/>
      <c r="AO26" s="733"/>
      <c r="AP26" s="733"/>
      <c r="AQ26" s="733"/>
      <c r="AR26" s="733"/>
      <c r="AS26" s="733"/>
      <c r="AT26" s="733"/>
      <c r="AU26" s="733"/>
      <c r="AV26" s="733"/>
    </row>
    <row r="27" spans="1:48" x14ac:dyDescent="0.25">
      <c r="Q27" s="650">
        <f>SUM(Q2:Q25)</f>
        <v>4.237000000000001</v>
      </c>
      <c r="R27" s="650">
        <f>SUM(R2:R25)</f>
        <v>3499.3199999999997</v>
      </c>
      <c r="S27" s="650">
        <f>SUM(S2:S25)</f>
        <v>0</v>
      </c>
      <c r="T27" s="650">
        <f>SUM(T2:T25)</f>
        <v>3528.2849999999989</v>
      </c>
      <c r="W27" s="650">
        <f>SUM(W2:W25)</f>
        <v>3532.5249999999996</v>
      </c>
      <c r="X27" s="650">
        <f>SUM(X2:X25)</f>
        <v>885.404</v>
      </c>
      <c r="Y27" s="12">
        <f>SUM(Y2:Y25)</f>
        <v>2642.89</v>
      </c>
    </row>
    <row r="30" spans="1:48" x14ac:dyDescent="0.25">
      <c r="AC30" s="12">
        <f>AC2/1000</f>
        <v>30.119</v>
      </c>
    </row>
    <row r="31" spans="1:48" x14ac:dyDescent="0.25">
      <c r="B31" s="565"/>
      <c r="C31" s="565"/>
      <c r="D31" s="565"/>
      <c r="E31" s="565"/>
      <c r="F31" s="565"/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T31" s="565"/>
      <c r="U31" s="565"/>
      <c r="V31" s="565"/>
      <c r="W31" s="565"/>
      <c r="X31" s="565"/>
      <c r="Y31" s="565"/>
      <c r="Z31" s="565"/>
      <c r="AA31" s="565"/>
      <c r="AB31" s="565"/>
      <c r="AC31" s="12">
        <f t="shared" ref="AC31:AC52" si="0">AC3/1000</f>
        <v>30.11</v>
      </c>
      <c r="AD31" s="565"/>
      <c r="AE31" s="565"/>
      <c r="AF31" s="565"/>
      <c r="AG31" s="565"/>
      <c r="AH31" s="565"/>
      <c r="AI31" s="565"/>
      <c r="AJ31" s="565"/>
      <c r="AK31" s="565"/>
      <c r="AM31" s="565"/>
      <c r="AN31" s="565"/>
      <c r="AO31" s="565"/>
      <c r="AP31" s="565"/>
      <c r="AQ31" s="565"/>
      <c r="AR31" s="565"/>
      <c r="AS31" s="565"/>
      <c r="AT31" s="565"/>
      <c r="AU31" s="565"/>
    </row>
    <row r="32" spans="1:48" x14ac:dyDescent="0.25">
      <c r="B32" s="565"/>
      <c r="C32" s="565"/>
      <c r="D32" s="565"/>
      <c r="E32" s="565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T32" s="565"/>
      <c r="U32" s="565"/>
      <c r="V32" s="565"/>
      <c r="W32" s="565"/>
      <c r="X32" s="565"/>
      <c r="Y32" s="565"/>
      <c r="Z32" s="565"/>
      <c r="AA32" s="565"/>
      <c r="AB32" s="565"/>
      <c r="AC32" s="12">
        <f t="shared" si="0"/>
        <v>30.283999999999999</v>
      </c>
      <c r="AD32" s="565"/>
      <c r="AE32" s="565"/>
      <c r="AF32" s="565"/>
      <c r="AG32" s="565"/>
      <c r="AH32" s="565"/>
      <c r="AI32" s="565"/>
      <c r="AJ32" s="565"/>
      <c r="AK32" s="565"/>
      <c r="AM32" s="565"/>
      <c r="AN32" s="565"/>
      <c r="AO32" s="565"/>
      <c r="AP32" s="565"/>
      <c r="AQ32" s="565"/>
      <c r="AR32" s="565"/>
      <c r="AS32" s="565"/>
      <c r="AT32" s="565"/>
      <c r="AU32" s="565"/>
    </row>
    <row r="33" spans="2:47" x14ac:dyDescent="0.25">
      <c r="B33" s="565"/>
      <c r="C33" s="565"/>
      <c r="D33" s="565"/>
      <c r="E33" s="565"/>
      <c r="F33" s="565"/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T33" s="565"/>
      <c r="U33" s="565"/>
      <c r="V33" s="565"/>
      <c r="W33" s="565"/>
      <c r="X33" s="565"/>
      <c r="Y33" s="565"/>
      <c r="Z33" s="565"/>
      <c r="AA33" s="565"/>
      <c r="AB33" s="565"/>
      <c r="AC33" s="12">
        <f t="shared" si="0"/>
        <v>30.311</v>
      </c>
      <c r="AD33" s="565"/>
      <c r="AE33" s="565"/>
      <c r="AF33" s="565"/>
      <c r="AG33" s="565"/>
      <c r="AH33" s="565"/>
      <c r="AI33" s="565"/>
      <c r="AJ33" s="565"/>
      <c r="AK33" s="565"/>
      <c r="AM33" s="565"/>
      <c r="AN33" s="565"/>
      <c r="AO33" s="565"/>
      <c r="AP33" s="565"/>
      <c r="AQ33" s="565"/>
      <c r="AR33" s="565"/>
      <c r="AS33" s="565"/>
      <c r="AT33" s="565"/>
      <c r="AU33" s="565"/>
    </row>
    <row r="34" spans="2:47" x14ac:dyDescent="0.25">
      <c r="B34" s="565"/>
      <c r="C34" s="565"/>
      <c r="D34" s="565"/>
      <c r="E34" s="565"/>
      <c r="F34" s="565"/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T34" s="565"/>
      <c r="U34" s="565"/>
      <c r="V34" s="565"/>
      <c r="W34" s="565"/>
      <c r="X34" s="565"/>
      <c r="Y34" s="565"/>
      <c r="Z34" s="565"/>
      <c r="AA34" s="565"/>
      <c r="AB34" s="565"/>
      <c r="AC34" s="12">
        <f t="shared" si="0"/>
        <v>30.312000000000001</v>
      </c>
      <c r="AD34" s="565"/>
      <c r="AE34" s="565"/>
      <c r="AF34" s="565"/>
      <c r="AG34" s="565"/>
      <c r="AH34" s="565"/>
      <c r="AI34" s="565"/>
      <c r="AJ34" s="565"/>
      <c r="AK34" s="565"/>
      <c r="AM34" s="565"/>
      <c r="AN34" s="565"/>
      <c r="AO34" s="565"/>
      <c r="AP34" s="565"/>
      <c r="AQ34" s="565"/>
      <c r="AR34" s="565"/>
      <c r="AS34" s="565"/>
      <c r="AT34" s="565"/>
      <c r="AU34" s="565"/>
    </row>
    <row r="35" spans="2:47" x14ac:dyDescent="0.25">
      <c r="B35" s="565"/>
      <c r="C35" s="565"/>
      <c r="D35" s="565"/>
      <c r="E35" s="565"/>
      <c r="F35" s="565"/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T35" s="565"/>
      <c r="U35" s="565"/>
      <c r="V35" s="565"/>
      <c r="W35" s="565"/>
      <c r="X35" s="565"/>
      <c r="Y35" s="565"/>
      <c r="Z35" s="565"/>
      <c r="AA35" s="565"/>
      <c r="AB35" s="565"/>
      <c r="AC35" s="12">
        <f t="shared" si="0"/>
        <v>30.413</v>
      </c>
      <c r="AD35" s="565"/>
      <c r="AE35" s="565"/>
      <c r="AF35" s="565"/>
      <c r="AG35" s="565"/>
      <c r="AH35" s="565"/>
      <c r="AI35" s="565"/>
      <c r="AJ35" s="565"/>
      <c r="AK35" s="565"/>
      <c r="AM35" s="565"/>
      <c r="AN35" s="565"/>
      <c r="AO35" s="565"/>
      <c r="AP35" s="565"/>
      <c r="AQ35" s="565"/>
      <c r="AR35" s="565"/>
      <c r="AS35" s="565"/>
      <c r="AT35" s="565"/>
      <c r="AU35" s="565"/>
    </row>
    <row r="36" spans="2:47" x14ac:dyDescent="0.25">
      <c r="B36" s="565"/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T36" s="565"/>
      <c r="U36" s="565"/>
      <c r="V36" s="565"/>
      <c r="W36" s="565"/>
      <c r="X36" s="565"/>
      <c r="Y36" s="565"/>
      <c r="Z36" s="565"/>
      <c r="AA36" s="565"/>
      <c r="AB36" s="565"/>
      <c r="AC36" s="12">
        <f t="shared" si="0"/>
        <v>30.437999999999999</v>
      </c>
      <c r="AD36" s="565"/>
      <c r="AE36" s="565"/>
      <c r="AF36" s="565"/>
      <c r="AG36" s="565"/>
      <c r="AH36" s="565"/>
      <c r="AI36" s="565"/>
      <c r="AJ36" s="565"/>
      <c r="AK36" s="565"/>
      <c r="AM36" s="565"/>
      <c r="AN36" s="565"/>
      <c r="AO36" s="565"/>
      <c r="AP36" s="565"/>
      <c r="AQ36" s="565"/>
      <c r="AR36" s="565"/>
      <c r="AS36" s="565"/>
      <c r="AT36" s="565"/>
      <c r="AU36" s="565"/>
    </row>
    <row r="37" spans="2:47" x14ac:dyDescent="0.25">
      <c r="B37" s="565"/>
      <c r="C37" s="565"/>
      <c r="D37" s="565"/>
      <c r="E37" s="565"/>
      <c r="F37" s="565"/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T37" s="565"/>
      <c r="U37" s="565"/>
      <c r="V37" s="565"/>
      <c r="W37" s="565"/>
      <c r="X37" s="565"/>
      <c r="Y37" s="565"/>
      <c r="Z37" s="565"/>
      <c r="AA37" s="565"/>
      <c r="AB37" s="565"/>
      <c r="AC37" s="12">
        <f t="shared" si="0"/>
        <v>30.431999999999999</v>
      </c>
      <c r="AD37" s="565"/>
      <c r="AE37" s="565"/>
      <c r="AF37" s="565"/>
      <c r="AG37" s="565"/>
      <c r="AH37" s="565"/>
      <c r="AI37" s="565"/>
      <c r="AJ37" s="565"/>
      <c r="AK37" s="565"/>
      <c r="AM37" s="565"/>
      <c r="AN37" s="565"/>
      <c r="AO37" s="565"/>
      <c r="AP37" s="565"/>
      <c r="AQ37" s="565"/>
      <c r="AR37" s="565"/>
      <c r="AS37" s="565"/>
      <c r="AT37" s="565"/>
      <c r="AU37" s="565"/>
    </row>
    <row r="38" spans="2:47" x14ac:dyDescent="0.25">
      <c r="B38" s="565"/>
      <c r="C38" s="565"/>
      <c r="D38" s="565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T38" s="565"/>
      <c r="U38" s="565"/>
      <c r="V38" s="565"/>
      <c r="W38" s="565"/>
      <c r="X38" s="565"/>
      <c r="Y38" s="565"/>
      <c r="Z38" s="565"/>
      <c r="AA38" s="565"/>
      <c r="AB38" s="565"/>
      <c r="AC38" s="12">
        <f t="shared" si="0"/>
        <v>30.431000000000001</v>
      </c>
      <c r="AD38" s="565"/>
      <c r="AE38" s="565"/>
      <c r="AF38" s="565"/>
      <c r="AG38" s="565"/>
      <c r="AH38" s="565"/>
      <c r="AI38" s="565"/>
      <c r="AJ38" s="565"/>
      <c r="AK38" s="565"/>
      <c r="AM38" s="565"/>
      <c r="AN38" s="565"/>
      <c r="AO38" s="565"/>
      <c r="AP38" s="565"/>
      <c r="AQ38" s="565"/>
      <c r="AR38" s="565"/>
      <c r="AS38" s="565"/>
      <c r="AT38" s="565"/>
      <c r="AU38" s="565"/>
    </row>
    <row r="39" spans="2:47" x14ac:dyDescent="0.25">
      <c r="B39" s="565"/>
      <c r="C39" s="565"/>
      <c r="D39" s="565"/>
      <c r="E39" s="565"/>
      <c r="F39" s="565"/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T39" s="565"/>
      <c r="U39" s="565"/>
      <c r="V39" s="565"/>
      <c r="W39" s="565"/>
      <c r="X39" s="565"/>
      <c r="Y39" s="565"/>
      <c r="Z39" s="565"/>
      <c r="AA39" s="565"/>
      <c r="AB39" s="565"/>
      <c r="AC39" s="12">
        <f t="shared" si="0"/>
        <v>30.431999999999999</v>
      </c>
      <c r="AD39" s="565"/>
      <c r="AE39" s="565"/>
      <c r="AF39" s="565"/>
      <c r="AG39" s="565"/>
      <c r="AH39" s="565"/>
      <c r="AI39" s="565"/>
      <c r="AJ39" s="565"/>
      <c r="AK39" s="565"/>
      <c r="AM39" s="565"/>
      <c r="AN39" s="565"/>
      <c r="AO39" s="565"/>
      <c r="AP39" s="565"/>
      <c r="AQ39" s="565"/>
      <c r="AR39" s="565"/>
      <c r="AS39" s="565"/>
      <c r="AT39" s="565"/>
      <c r="AU39" s="565"/>
    </row>
    <row r="40" spans="2:47" x14ac:dyDescent="0.25">
      <c r="B40" s="565"/>
      <c r="C40" s="565"/>
      <c r="D40" s="565"/>
      <c r="E40" s="565"/>
      <c r="F40" s="565"/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T40" s="565"/>
      <c r="U40" s="565"/>
      <c r="V40" s="565"/>
      <c r="W40" s="565"/>
      <c r="X40" s="565"/>
      <c r="Y40" s="565"/>
      <c r="Z40" s="565"/>
      <c r="AA40" s="565"/>
      <c r="AB40" s="565"/>
      <c r="AC40" s="12">
        <f t="shared" si="0"/>
        <v>30.486999999999998</v>
      </c>
      <c r="AD40" s="565"/>
      <c r="AE40" s="565"/>
      <c r="AF40" s="565"/>
      <c r="AG40" s="565"/>
      <c r="AH40" s="565"/>
      <c r="AI40" s="565"/>
      <c r="AJ40" s="565"/>
      <c r="AK40" s="565"/>
      <c r="AM40" s="565"/>
      <c r="AN40" s="565"/>
      <c r="AO40" s="565"/>
      <c r="AP40" s="565"/>
      <c r="AQ40" s="565"/>
      <c r="AR40" s="565"/>
      <c r="AS40" s="565"/>
      <c r="AT40" s="565"/>
      <c r="AU40" s="565"/>
    </row>
    <row r="41" spans="2:47" x14ac:dyDescent="0.25">
      <c r="B41" s="565"/>
      <c r="C41" s="565"/>
      <c r="D41" s="565"/>
      <c r="E41" s="565"/>
      <c r="F41" s="565"/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T41" s="565"/>
      <c r="U41" s="565"/>
      <c r="V41" s="565"/>
      <c r="W41" s="565"/>
      <c r="X41" s="565"/>
      <c r="Y41" s="565"/>
      <c r="Z41" s="565"/>
      <c r="AA41" s="565"/>
      <c r="AB41" s="565"/>
      <c r="AC41" s="12">
        <f t="shared" si="0"/>
        <v>30.585999999999999</v>
      </c>
      <c r="AD41" s="565"/>
      <c r="AE41" s="565"/>
      <c r="AF41" s="565"/>
      <c r="AG41" s="565"/>
      <c r="AH41" s="565"/>
      <c r="AI41" s="565"/>
      <c r="AJ41" s="565"/>
      <c r="AK41" s="565"/>
      <c r="AM41" s="565"/>
      <c r="AN41" s="565"/>
      <c r="AO41" s="565"/>
      <c r="AP41" s="565"/>
      <c r="AQ41" s="565"/>
      <c r="AR41" s="565"/>
      <c r="AS41" s="565"/>
      <c r="AT41" s="565"/>
      <c r="AU41" s="565"/>
    </row>
    <row r="42" spans="2:47" x14ac:dyDescent="0.25">
      <c r="B42" s="565"/>
      <c r="C42" s="565"/>
      <c r="D42" s="565"/>
      <c r="E42" s="565"/>
      <c r="F42" s="565"/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T42" s="565"/>
      <c r="U42" s="565"/>
      <c r="V42" s="565"/>
      <c r="W42" s="565"/>
      <c r="X42" s="565"/>
      <c r="Y42" s="565"/>
      <c r="Z42" s="565"/>
      <c r="AA42" s="565"/>
      <c r="AB42" s="565"/>
      <c r="AC42" s="12">
        <f t="shared" si="0"/>
        <v>30.619</v>
      </c>
      <c r="AD42" s="565"/>
      <c r="AE42" s="565"/>
      <c r="AF42" s="565"/>
      <c r="AG42" s="565"/>
      <c r="AH42" s="565"/>
      <c r="AI42" s="565"/>
      <c r="AJ42" s="565"/>
      <c r="AK42" s="565"/>
      <c r="AM42" s="565"/>
      <c r="AN42" s="565"/>
      <c r="AO42" s="565"/>
      <c r="AP42" s="565"/>
      <c r="AQ42" s="565"/>
      <c r="AR42" s="565"/>
      <c r="AS42" s="565"/>
      <c r="AT42" s="565"/>
      <c r="AU42" s="565"/>
    </row>
    <row r="43" spans="2:47" x14ac:dyDescent="0.25">
      <c r="B43" s="565"/>
      <c r="C43" s="565"/>
      <c r="D43" s="565"/>
      <c r="E43" s="565"/>
      <c r="F43" s="565"/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T43" s="565"/>
      <c r="U43" s="565"/>
      <c r="V43" s="565"/>
      <c r="W43" s="565"/>
      <c r="X43" s="565"/>
      <c r="Y43" s="565"/>
      <c r="Z43" s="565"/>
      <c r="AA43" s="565"/>
      <c r="AB43" s="565"/>
      <c r="AC43" s="12">
        <f t="shared" si="0"/>
        <v>30.57</v>
      </c>
      <c r="AD43" s="565"/>
      <c r="AE43" s="565"/>
      <c r="AF43" s="565"/>
      <c r="AG43" s="565"/>
      <c r="AH43" s="565"/>
      <c r="AI43" s="565"/>
      <c r="AJ43" s="565"/>
      <c r="AK43" s="565"/>
      <c r="AM43" s="565"/>
      <c r="AN43" s="565"/>
      <c r="AO43" s="565"/>
      <c r="AP43" s="565"/>
      <c r="AQ43" s="565"/>
      <c r="AR43" s="565"/>
      <c r="AS43" s="565"/>
      <c r="AT43" s="565"/>
      <c r="AU43" s="565"/>
    </row>
    <row r="44" spans="2:47" x14ac:dyDescent="0.25">
      <c r="B44" s="565"/>
      <c r="C44" s="565"/>
      <c r="D44" s="565"/>
      <c r="E44" s="565"/>
      <c r="F44" s="565"/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T44" s="565"/>
      <c r="U44" s="565"/>
      <c r="V44" s="565"/>
      <c r="W44" s="565"/>
      <c r="X44" s="565"/>
      <c r="Y44" s="565"/>
      <c r="Z44" s="565"/>
      <c r="AA44" s="565"/>
      <c r="AB44" s="565"/>
      <c r="AC44" s="12">
        <f t="shared" si="0"/>
        <v>30.509</v>
      </c>
      <c r="AD44" s="565"/>
      <c r="AE44" s="565"/>
      <c r="AF44" s="565"/>
      <c r="AG44" s="565"/>
      <c r="AH44" s="565"/>
      <c r="AI44" s="565"/>
      <c r="AJ44" s="565"/>
      <c r="AK44" s="565"/>
      <c r="AM44" s="565"/>
      <c r="AN44" s="565"/>
      <c r="AO44" s="565"/>
      <c r="AP44" s="565"/>
      <c r="AQ44" s="565"/>
      <c r="AR44" s="565"/>
      <c r="AS44" s="565"/>
      <c r="AT44" s="565"/>
      <c r="AU44" s="565"/>
    </row>
    <row r="45" spans="2:47" x14ac:dyDescent="0.25">
      <c r="B45" s="565"/>
      <c r="C45" s="565"/>
      <c r="D45" s="565"/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T45" s="565"/>
      <c r="U45" s="565"/>
      <c r="V45" s="565"/>
      <c r="W45" s="565"/>
      <c r="X45" s="565"/>
      <c r="Y45" s="565"/>
      <c r="Z45" s="565"/>
      <c r="AA45" s="565"/>
      <c r="AB45" s="565"/>
      <c r="AC45" s="12">
        <f t="shared" si="0"/>
        <v>30.494</v>
      </c>
      <c r="AD45" s="565"/>
      <c r="AE45" s="565"/>
      <c r="AF45" s="565"/>
      <c r="AG45" s="565"/>
      <c r="AH45" s="565"/>
      <c r="AI45" s="565"/>
      <c r="AJ45" s="565"/>
      <c r="AK45" s="565"/>
      <c r="AM45" s="565"/>
      <c r="AN45" s="565"/>
      <c r="AO45" s="565"/>
      <c r="AP45" s="565"/>
      <c r="AQ45" s="565"/>
      <c r="AR45" s="565"/>
      <c r="AS45" s="565"/>
      <c r="AT45" s="565"/>
      <c r="AU45" s="565"/>
    </row>
    <row r="46" spans="2:47" x14ac:dyDescent="0.25">
      <c r="B46" s="565"/>
      <c r="C46" s="565"/>
      <c r="D46" s="565"/>
      <c r="E46" s="565"/>
      <c r="F46" s="565"/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  <c r="R46" s="565"/>
      <c r="T46" s="565"/>
      <c r="U46" s="565"/>
      <c r="V46" s="565"/>
      <c r="W46" s="565"/>
      <c r="X46" s="565"/>
      <c r="Y46" s="565"/>
      <c r="Z46" s="565"/>
      <c r="AA46" s="565"/>
      <c r="AB46" s="565"/>
      <c r="AC46" s="12">
        <f t="shared" si="0"/>
        <v>30.489000000000001</v>
      </c>
      <c r="AD46" s="565"/>
      <c r="AE46" s="565"/>
      <c r="AF46" s="565"/>
      <c r="AG46" s="565"/>
      <c r="AH46" s="565"/>
      <c r="AI46" s="565"/>
      <c r="AJ46" s="565"/>
      <c r="AK46" s="565"/>
      <c r="AM46" s="565"/>
      <c r="AN46" s="565"/>
      <c r="AO46" s="565"/>
      <c r="AP46" s="565"/>
      <c r="AQ46" s="565"/>
      <c r="AR46" s="565"/>
      <c r="AS46" s="565"/>
      <c r="AT46" s="565"/>
      <c r="AU46" s="565"/>
    </row>
    <row r="47" spans="2:47" x14ac:dyDescent="0.25"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  <c r="R47" s="565"/>
      <c r="T47" s="565"/>
      <c r="U47" s="565"/>
      <c r="V47" s="565"/>
      <c r="W47" s="565"/>
      <c r="X47" s="565"/>
      <c r="Y47" s="565"/>
      <c r="Z47" s="565"/>
      <c r="AA47" s="565"/>
      <c r="AB47" s="565"/>
      <c r="AC47" s="12">
        <f t="shared" si="0"/>
        <v>30.478000000000002</v>
      </c>
      <c r="AD47" s="565"/>
      <c r="AE47" s="565"/>
      <c r="AF47" s="565"/>
      <c r="AG47" s="565"/>
      <c r="AH47" s="565"/>
      <c r="AI47" s="565"/>
      <c r="AJ47" s="565"/>
      <c r="AK47" s="565"/>
      <c r="AM47" s="565"/>
      <c r="AN47" s="565"/>
      <c r="AO47" s="565"/>
      <c r="AP47" s="565"/>
      <c r="AQ47" s="565"/>
      <c r="AR47" s="565"/>
      <c r="AS47" s="565"/>
      <c r="AT47" s="565"/>
      <c r="AU47" s="565"/>
    </row>
    <row r="48" spans="2:47" x14ac:dyDescent="0.25">
      <c r="B48" s="565"/>
      <c r="C48" s="565"/>
      <c r="D48" s="565"/>
      <c r="E48" s="565"/>
      <c r="F48" s="565"/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  <c r="R48" s="565"/>
      <c r="T48" s="565"/>
      <c r="U48" s="565"/>
      <c r="V48" s="565"/>
      <c r="W48" s="565"/>
      <c r="X48" s="565"/>
      <c r="Y48" s="565"/>
      <c r="Z48" s="565"/>
      <c r="AA48" s="565"/>
      <c r="AB48" s="565"/>
      <c r="AC48" s="12">
        <f t="shared" si="0"/>
        <v>30.495000000000001</v>
      </c>
      <c r="AD48" s="565"/>
      <c r="AE48" s="565"/>
      <c r="AF48" s="565"/>
      <c r="AG48" s="565"/>
      <c r="AH48" s="565"/>
      <c r="AI48" s="565"/>
      <c r="AJ48" s="565"/>
      <c r="AK48" s="565"/>
      <c r="AM48" s="565"/>
      <c r="AN48" s="565"/>
      <c r="AO48" s="565"/>
      <c r="AP48" s="565"/>
      <c r="AQ48" s="565"/>
      <c r="AR48" s="565"/>
      <c r="AS48" s="565"/>
      <c r="AT48" s="565"/>
      <c r="AU48" s="565"/>
    </row>
    <row r="49" spans="2:47" x14ac:dyDescent="0.25">
      <c r="B49" s="565"/>
      <c r="C49" s="565"/>
      <c r="D49" s="565"/>
      <c r="E49" s="565"/>
      <c r="F49" s="565"/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  <c r="R49" s="565"/>
      <c r="T49" s="565"/>
      <c r="U49" s="565"/>
      <c r="V49" s="565"/>
      <c r="W49" s="565"/>
      <c r="X49" s="565"/>
      <c r="Y49" s="565"/>
      <c r="Z49" s="565"/>
      <c r="AA49" s="565"/>
      <c r="AB49" s="565"/>
      <c r="AC49" s="12">
        <f t="shared" si="0"/>
        <v>30.492000000000001</v>
      </c>
      <c r="AD49" s="565"/>
      <c r="AE49" s="565"/>
      <c r="AF49" s="565"/>
      <c r="AG49" s="565"/>
      <c r="AH49" s="565"/>
      <c r="AI49" s="565"/>
      <c r="AJ49" s="565"/>
      <c r="AK49" s="565"/>
      <c r="AM49" s="565"/>
      <c r="AN49" s="565"/>
      <c r="AO49" s="565"/>
      <c r="AP49" s="565"/>
      <c r="AQ49" s="565"/>
      <c r="AR49" s="565"/>
      <c r="AS49" s="565"/>
      <c r="AT49" s="565"/>
      <c r="AU49" s="565"/>
    </row>
    <row r="50" spans="2:47" x14ac:dyDescent="0.25">
      <c r="B50" s="565"/>
      <c r="C50" s="565"/>
      <c r="D50" s="565"/>
      <c r="E50" s="565"/>
      <c r="F50" s="565"/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  <c r="R50" s="565"/>
      <c r="T50" s="565"/>
      <c r="U50" s="565"/>
      <c r="V50" s="565"/>
      <c r="W50" s="565"/>
      <c r="X50" s="565"/>
      <c r="Y50" s="565"/>
      <c r="Z50" s="565"/>
      <c r="AA50" s="565"/>
      <c r="AB50" s="565"/>
      <c r="AC50" s="12">
        <f t="shared" si="0"/>
        <v>36.831000000000003</v>
      </c>
      <c r="AD50" s="565"/>
      <c r="AE50" s="565"/>
      <c r="AF50" s="565"/>
      <c r="AG50" s="565"/>
      <c r="AH50" s="565"/>
      <c r="AI50" s="565"/>
      <c r="AJ50" s="565"/>
      <c r="AK50" s="565"/>
      <c r="AM50" s="565"/>
      <c r="AN50" s="565"/>
      <c r="AO50" s="565"/>
      <c r="AP50" s="565"/>
      <c r="AQ50" s="565"/>
      <c r="AR50" s="565"/>
      <c r="AS50" s="565"/>
      <c r="AT50" s="565"/>
      <c r="AU50" s="565"/>
    </row>
    <row r="51" spans="2:47" x14ac:dyDescent="0.25">
      <c r="B51" s="565"/>
      <c r="C51" s="565"/>
      <c r="D51" s="565"/>
      <c r="E51" s="565"/>
      <c r="F51" s="565"/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  <c r="R51" s="565"/>
      <c r="T51" s="565"/>
      <c r="U51" s="565"/>
      <c r="V51" s="565"/>
      <c r="W51" s="565"/>
      <c r="X51" s="565"/>
      <c r="Y51" s="565"/>
      <c r="Z51" s="565"/>
      <c r="AA51" s="565"/>
      <c r="AB51" s="565"/>
      <c r="AC51" s="12">
        <f t="shared" si="0"/>
        <v>121.60299999999999</v>
      </c>
      <c r="AD51" s="565"/>
      <c r="AE51" s="565"/>
      <c r="AF51" s="565"/>
      <c r="AG51" s="565"/>
      <c r="AH51" s="565"/>
      <c r="AI51" s="565"/>
      <c r="AJ51" s="565"/>
      <c r="AK51" s="565"/>
      <c r="AM51" s="565"/>
      <c r="AN51" s="565"/>
      <c r="AO51" s="565"/>
      <c r="AP51" s="565"/>
      <c r="AQ51" s="565"/>
      <c r="AR51" s="565"/>
      <c r="AS51" s="565"/>
      <c r="AT51" s="565"/>
      <c r="AU51" s="565"/>
    </row>
    <row r="52" spans="2:47" x14ac:dyDescent="0.25">
      <c r="B52" s="565"/>
      <c r="C52" s="565"/>
      <c r="D52" s="565"/>
      <c r="E52" s="565"/>
      <c r="F52" s="565"/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  <c r="R52" s="565"/>
      <c r="T52" s="565"/>
      <c r="U52" s="565"/>
      <c r="V52" s="565"/>
      <c r="W52" s="565"/>
      <c r="X52" s="565"/>
      <c r="Y52" s="565"/>
      <c r="Z52" s="565"/>
      <c r="AA52" s="565"/>
      <c r="AB52" s="565"/>
      <c r="AC52" s="12">
        <f t="shared" si="0"/>
        <v>125.54</v>
      </c>
      <c r="AD52" s="565"/>
      <c r="AE52" s="565"/>
      <c r="AF52" s="565"/>
      <c r="AG52" s="565"/>
      <c r="AH52" s="565"/>
      <c r="AI52" s="565"/>
      <c r="AJ52" s="565"/>
      <c r="AK52" s="565"/>
      <c r="AM52" s="565"/>
      <c r="AN52" s="565"/>
      <c r="AO52" s="565"/>
      <c r="AP52" s="565"/>
      <c r="AQ52" s="565"/>
      <c r="AR52" s="565"/>
      <c r="AS52" s="565"/>
      <c r="AT52" s="565"/>
      <c r="AU52" s="565"/>
    </row>
    <row r="53" spans="2:47" x14ac:dyDescent="0.25">
      <c r="B53" s="565"/>
      <c r="C53" s="565"/>
      <c r="D53" s="565"/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T53" s="565"/>
      <c r="U53" s="565"/>
      <c r="V53" s="565"/>
      <c r="W53" s="565"/>
      <c r="X53" s="565"/>
      <c r="Y53" s="565"/>
      <c r="Z53" s="565"/>
      <c r="AA53" s="565"/>
      <c r="AB53" s="565"/>
      <c r="AC53" s="12">
        <f>AC25/1000</f>
        <v>124.122</v>
      </c>
      <c r="AD53" s="565"/>
      <c r="AE53" s="565"/>
      <c r="AF53" s="565"/>
      <c r="AG53" s="565"/>
      <c r="AH53" s="565"/>
      <c r="AI53" s="565"/>
      <c r="AJ53" s="565"/>
      <c r="AK53" s="565"/>
      <c r="AM53" s="565"/>
      <c r="AN53" s="565"/>
      <c r="AO53" s="565"/>
      <c r="AP53" s="565"/>
      <c r="AQ53" s="565"/>
      <c r="AR53" s="565"/>
      <c r="AS53" s="565"/>
      <c r="AT53" s="565"/>
      <c r="AU53" s="565"/>
    </row>
    <row r="54" spans="2:47" x14ac:dyDescent="0.25">
      <c r="B54" s="565"/>
      <c r="C54" s="565"/>
      <c r="D54" s="565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T54" s="565"/>
      <c r="U54" s="565"/>
      <c r="V54" s="565"/>
      <c r="W54" s="565"/>
      <c r="X54" s="565"/>
      <c r="Y54" s="565"/>
      <c r="Z54" s="565"/>
      <c r="AA54" s="565"/>
      <c r="AB54" s="565"/>
      <c r="AD54" s="565"/>
      <c r="AE54" s="565"/>
      <c r="AF54" s="565"/>
      <c r="AG54" s="565"/>
      <c r="AH54" s="565"/>
      <c r="AI54" s="565"/>
      <c r="AJ54" s="565"/>
      <c r="AK54" s="565"/>
      <c r="AM54" s="565"/>
      <c r="AN54" s="565"/>
      <c r="AO54" s="565"/>
      <c r="AP54" s="565"/>
      <c r="AQ54" s="565"/>
      <c r="AR54" s="565"/>
      <c r="AS54" s="565"/>
      <c r="AT54" s="565"/>
      <c r="AU54" s="565"/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8E4F-50B6-460B-B5E1-F4E9BBA7A702}">
  <sheetPr codeName="Sheet20">
    <tabColor rgb="FF7030A0"/>
  </sheetPr>
  <dimension ref="A1:AV54"/>
  <sheetViews>
    <sheetView workbookViewId="0">
      <selection activeCell="C37" sqref="C37"/>
    </sheetView>
  </sheetViews>
  <sheetFormatPr defaultColWidth="22.85546875" defaultRowHeight="15" x14ac:dyDescent="0.25"/>
  <cols>
    <col min="1" max="1" width="13.42578125" style="12" customWidth="1"/>
    <col min="2" max="4" width="17.42578125" style="12" customWidth="1"/>
    <col min="5" max="5" width="20.42578125" style="12" customWidth="1"/>
    <col min="6" max="19" width="22.85546875" style="12"/>
    <col min="20" max="22" width="0" style="12" hidden="1" customWidth="1"/>
    <col min="23" max="16384" width="22.85546875" style="12"/>
  </cols>
  <sheetData>
    <row r="1" spans="1:30" s="581" customFormat="1" ht="31.5" x14ac:dyDescent="0.25">
      <c r="A1" s="662" t="s">
        <v>502</v>
      </c>
      <c r="B1" s="662" t="s">
        <v>503</v>
      </c>
      <c r="C1" s="662" t="s">
        <v>723</v>
      </c>
      <c r="D1" s="663" t="s">
        <v>684</v>
      </c>
      <c r="E1" s="662" t="s">
        <v>686</v>
      </c>
      <c r="F1" s="664" t="s">
        <v>685</v>
      </c>
      <c r="G1" s="664" t="s">
        <v>657</v>
      </c>
      <c r="H1" s="664" t="s">
        <v>659</v>
      </c>
      <c r="I1" s="664" t="s">
        <v>661</v>
      </c>
      <c r="J1" s="664" t="s">
        <v>660</v>
      </c>
      <c r="K1" s="664" t="s">
        <v>658</v>
      </c>
      <c r="L1" s="664" t="s">
        <v>652</v>
      </c>
      <c r="M1" s="664" t="s">
        <v>654</v>
      </c>
      <c r="N1" s="664" t="s">
        <v>656</v>
      </c>
      <c r="O1" s="664" t="s">
        <v>655</v>
      </c>
      <c r="P1" s="664" t="s">
        <v>653</v>
      </c>
      <c r="Q1" s="664" t="s">
        <v>672</v>
      </c>
      <c r="R1" s="664" t="s">
        <v>675</v>
      </c>
      <c r="S1" s="664" t="s">
        <v>673</v>
      </c>
      <c r="T1" s="664" t="s">
        <v>677</v>
      </c>
      <c r="U1" s="664" t="s">
        <v>680</v>
      </c>
      <c r="V1" s="664" t="s">
        <v>678</v>
      </c>
      <c r="W1" s="664" t="s">
        <v>662</v>
      </c>
      <c r="X1" s="664" t="s">
        <v>665</v>
      </c>
      <c r="Y1" s="665" t="s">
        <v>663</v>
      </c>
      <c r="Z1" s="665" t="s">
        <v>667</v>
      </c>
      <c r="AA1" s="665" t="s">
        <v>670</v>
      </c>
      <c r="AB1" s="665" t="s">
        <v>668</v>
      </c>
      <c r="AC1" s="665" t="s">
        <v>682</v>
      </c>
      <c r="AD1" s="665" t="s">
        <v>683</v>
      </c>
    </row>
    <row r="2" spans="1:30" x14ac:dyDescent="0.25">
      <c r="A2" s="23" t="s">
        <v>724</v>
      </c>
      <c r="B2" s="636" t="s">
        <v>710</v>
      </c>
      <c r="C2" s="566" t="s">
        <v>38</v>
      </c>
      <c r="D2" s="190">
        <v>569.64</v>
      </c>
      <c r="E2" s="23">
        <v>997.05</v>
      </c>
      <c r="F2" s="191">
        <v>622.78</v>
      </c>
      <c r="G2" s="191">
        <v>0</v>
      </c>
      <c r="H2" s="191">
        <v>307.82499999999999</v>
      </c>
      <c r="I2" s="191">
        <v>308.00799999999998</v>
      </c>
      <c r="J2" s="191">
        <v>0.184</v>
      </c>
      <c r="K2" s="641">
        <v>307.82499999999999</v>
      </c>
      <c r="L2" s="641">
        <v>0</v>
      </c>
      <c r="M2" s="641">
        <v>307.82499999999999</v>
      </c>
      <c r="N2" s="191">
        <v>308.00799999999998</v>
      </c>
      <c r="O2" s="191">
        <v>0.184</v>
      </c>
      <c r="P2" s="191">
        <v>307.82499999999999</v>
      </c>
      <c r="Q2" s="191">
        <v>77.247</v>
      </c>
      <c r="R2" s="191">
        <v>0.184</v>
      </c>
      <c r="S2" s="191">
        <v>230.578</v>
      </c>
      <c r="T2" s="191">
        <v>88693</v>
      </c>
      <c r="U2" s="191">
        <v>0.14699999999999999</v>
      </c>
      <c r="V2" s="191">
        <v>268.13600000000002</v>
      </c>
      <c r="W2" s="191">
        <v>77.247</v>
      </c>
      <c r="X2" s="191">
        <v>0.184</v>
      </c>
      <c r="Y2" s="23">
        <v>230.578</v>
      </c>
      <c r="Z2" s="23">
        <v>88693</v>
      </c>
      <c r="AA2" s="23">
        <v>0.14699999999999999</v>
      </c>
      <c r="AB2" s="23">
        <v>268.13600000000002</v>
      </c>
      <c r="AC2" s="23">
        <v>552.33000000000004</v>
      </c>
      <c r="AD2" s="23">
        <v>82.05</v>
      </c>
    </row>
    <row r="3" spans="1:30" x14ac:dyDescent="0.25">
      <c r="A3" s="23" t="s">
        <v>724</v>
      </c>
      <c r="B3" s="636" t="s">
        <v>711</v>
      </c>
      <c r="C3" s="566" t="s">
        <v>38</v>
      </c>
      <c r="D3" s="190">
        <v>569.63</v>
      </c>
      <c r="E3" s="23">
        <v>997.05</v>
      </c>
      <c r="F3" s="191">
        <v>622.74</v>
      </c>
      <c r="G3" s="191">
        <v>0</v>
      </c>
      <c r="H3" s="191">
        <v>307.68200000000002</v>
      </c>
      <c r="I3" s="191">
        <v>307.86200000000002</v>
      </c>
      <c r="J3" s="191">
        <v>0.18</v>
      </c>
      <c r="K3" s="641">
        <v>307.68200000000002</v>
      </c>
      <c r="L3" s="641">
        <v>0</v>
      </c>
      <c r="M3" s="641">
        <v>307.68200000000002</v>
      </c>
      <c r="N3" s="191">
        <v>309.11200000000002</v>
      </c>
      <c r="O3" s="191">
        <v>0.18099999999999999</v>
      </c>
      <c r="P3" s="191">
        <v>308.93200000000002</v>
      </c>
      <c r="Q3" s="191">
        <v>77.210999999999999</v>
      </c>
      <c r="R3" s="191">
        <v>0.18</v>
      </c>
      <c r="S3" s="191">
        <v>230.471</v>
      </c>
      <c r="T3" s="191">
        <v>88652</v>
      </c>
      <c r="U3" s="191">
        <v>0.14499999999999999</v>
      </c>
      <c r="V3" s="191">
        <v>268.012</v>
      </c>
      <c r="W3" s="191">
        <v>77.210999999999999</v>
      </c>
      <c r="X3" s="191">
        <v>0.18</v>
      </c>
      <c r="Y3" s="23">
        <v>230.471</v>
      </c>
      <c r="Z3" s="23">
        <v>88652</v>
      </c>
      <c r="AA3" s="23">
        <v>0.14499999999999999</v>
      </c>
      <c r="AB3" s="23">
        <v>268.012</v>
      </c>
      <c r="AC3" s="23">
        <v>552.1</v>
      </c>
      <c r="AD3" s="23">
        <v>82.07</v>
      </c>
    </row>
    <row r="4" spans="1:30" x14ac:dyDescent="0.25">
      <c r="A4" s="23" t="s">
        <v>724</v>
      </c>
      <c r="B4" s="636" t="s">
        <v>712</v>
      </c>
      <c r="C4" s="566" t="s">
        <v>38</v>
      </c>
      <c r="D4" s="190">
        <v>569.61</v>
      </c>
      <c r="E4" s="23">
        <v>997.05</v>
      </c>
      <c r="F4" s="191">
        <v>622.70000000000005</v>
      </c>
      <c r="G4" s="191">
        <v>0</v>
      </c>
      <c r="H4" s="191">
        <v>307.71199999999999</v>
      </c>
      <c r="I4" s="191">
        <v>307.90800000000002</v>
      </c>
      <c r="J4" s="191">
        <v>0.19600000000000001</v>
      </c>
      <c r="K4" s="641">
        <v>307.71199999999999</v>
      </c>
      <c r="L4" s="641">
        <v>0</v>
      </c>
      <c r="M4" s="641">
        <v>307.71199999999999</v>
      </c>
      <c r="N4" s="191">
        <v>307.96100000000001</v>
      </c>
      <c r="O4" s="191">
        <v>0.19600000000000001</v>
      </c>
      <c r="P4" s="191">
        <v>307.76499999999999</v>
      </c>
      <c r="Q4" s="191">
        <v>77.218000000000004</v>
      </c>
      <c r="R4" s="191">
        <v>0.19600000000000001</v>
      </c>
      <c r="S4" s="642">
        <v>230.494</v>
      </c>
      <c r="T4" s="191"/>
      <c r="U4" s="191"/>
      <c r="V4" s="191"/>
      <c r="W4" s="191">
        <v>77.218000000000004</v>
      </c>
      <c r="X4" s="191">
        <v>0.19600000000000001</v>
      </c>
      <c r="Y4" s="23">
        <v>230.494</v>
      </c>
      <c r="Z4" s="23">
        <v>88660</v>
      </c>
      <c r="AA4" s="23">
        <v>0.157</v>
      </c>
      <c r="AB4" s="23">
        <v>268.03800000000001</v>
      </c>
      <c r="AC4" s="23">
        <v>551.92999999999995</v>
      </c>
      <c r="AD4" s="23">
        <v>82.09</v>
      </c>
    </row>
    <row r="5" spans="1:30" x14ac:dyDescent="0.25">
      <c r="A5" s="23" t="s">
        <v>724</v>
      </c>
      <c r="B5" s="636" t="s">
        <v>713</v>
      </c>
      <c r="C5" s="566" t="s">
        <v>38</v>
      </c>
      <c r="D5" s="190">
        <v>569.6</v>
      </c>
      <c r="E5" s="23">
        <v>997.05</v>
      </c>
      <c r="F5" s="191">
        <v>622.69000000000005</v>
      </c>
      <c r="G5" s="191">
        <v>0</v>
      </c>
      <c r="H5" s="191">
        <v>307.55</v>
      </c>
      <c r="I5" s="191">
        <v>307.755</v>
      </c>
      <c r="J5" s="191">
        <v>0.20499999999999999</v>
      </c>
      <c r="K5" s="641">
        <v>307.55</v>
      </c>
      <c r="L5" s="641">
        <v>0</v>
      </c>
      <c r="M5" s="641">
        <v>307.55</v>
      </c>
      <c r="N5" s="191">
        <v>306.45100000000002</v>
      </c>
      <c r="O5" s="191">
        <v>0.20399999999999999</v>
      </c>
      <c r="P5" s="191">
        <v>306.24700000000001</v>
      </c>
      <c r="Q5" s="191">
        <v>77.177999999999997</v>
      </c>
      <c r="R5" s="191">
        <v>0.20499999999999999</v>
      </c>
      <c r="S5" s="191">
        <v>230.37200000000001</v>
      </c>
      <c r="T5" s="191">
        <v>88614</v>
      </c>
      <c r="U5" s="191">
        <v>0.16500000000000001</v>
      </c>
      <c r="V5" s="191">
        <v>267.89699999999999</v>
      </c>
      <c r="W5" s="191">
        <v>77.177999999999997</v>
      </c>
      <c r="X5" s="191">
        <v>0.20499999999999999</v>
      </c>
      <c r="Y5" s="23">
        <v>230.37200000000001</v>
      </c>
      <c r="Z5" s="23">
        <v>88614</v>
      </c>
      <c r="AA5" s="23">
        <v>0.16500000000000001</v>
      </c>
      <c r="AB5" s="23">
        <v>267.89699999999999</v>
      </c>
      <c r="AC5" s="23">
        <v>551.9</v>
      </c>
      <c r="AD5" s="23">
        <v>82.1</v>
      </c>
    </row>
    <row r="6" spans="1:30" x14ac:dyDescent="0.25">
      <c r="A6" s="23" t="s">
        <v>724</v>
      </c>
      <c r="B6" s="636" t="s">
        <v>714</v>
      </c>
      <c r="C6" s="566" t="s">
        <v>38</v>
      </c>
      <c r="D6" s="190">
        <v>569.6</v>
      </c>
      <c r="E6" s="23">
        <v>997.05</v>
      </c>
      <c r="F6" s="191">
        <v>622.67999999999995</v>
      </c>
      <c r="G6" s="191">
        <v>0</v>
      </c>
      <c r="H6" s="191">
        <v>307.38799999999998</v>
      </c>
      <c r="I6" s="191">
        <v>307.59699999999998</v>
      </c>
      <c r="J6" s="191">
        <v>0.21</v>
      </c>
      <c r="K6" s="641">
        <v>307.38799999999998</v>
      </c>
      <c r="L6" s="641">
        <v>0</v>
      </c>
      <c r="M6" s="641">
        <v>307.38799999999998</v>
      </c>
      <c r="N6" s="191">
        <v>307.59699999999998</v>
      </c>
      <c r="O6" s="191">
        <v>0.21</v>
      </c>
      <c r="P6" s="191">
        <v>307.38799999999998</v>
      </c>
      <c r="Q6" s="191">
        <v>77.137</v>
      </c>
      <c r="R6" s="191">
        <v>0.21</v>
      </c>
      <c r="S6" s="191">
        <v>230.251</v>
      </c>
      <c r="T6" s="191">
        <v>88567</v>
      </c>
      <c r="U6" s="191">
        <v>0.16800000000000001</v>
      </c>
      <c r="V6" s="191">
        <v>267.75599999999997</v>
      </c>
      <c r="W6" s="191">
        <v>77.137</v>
      </c>
      <c r="X6" s="191">
        <v>0.21</v>
      </c>
      <c r="Y6" s="23">
        <v>230.251</v>
      </c>
      <c r="Z6" s="23">
        <v>88567</v>
      </c>
      <c r="AA6" s="23">
        <v>0.16800000000000001</v>
      </c>
      <c r="AB6" s="23">
        <v>267.75599999999997</v>
      </c>
      <c r="AC6" s="23">
        <v>551.85</v>
      </c>
      <c r="AD6" s="23">
        <v>82.11</v>
      </c>
    </row>
    <row r="7" spans="1:30" x14ac:dyDescent="0.25">
      <c r="A7" s="23" t="s">
        <v>724</v>
      </c>
      <c r="B7" s="636" t="s">
        <v>715</v>
      </c>
      <c r="C7" s="566" t="s">
        <v>38</v>
      </c>
      <c r="D7" s="190">
        <v>569.59</v>
      </c>
      <c r="E7" s="23">
        <v>997.05</v>
      </c>
      <c r="F7" s="191">
        <v>622.65</v>
      </c>
      <c r="G7" s="191">
        <v>0</v>
      </c>
      <c r="H7" s="191">
        <v>307.34100000000001</v>
      </c>
      <c r="I7" s="191">
        <v>307.54399999999998</v>
      </c>
      <c r="J7" s="191">
        <v>0.20399999999999999</v>
      </c>
      <c r="K7" s="641">
        <v>307.34100000000001</v>
      </c>
      <c r="L7" s="641">
        <v>0</v>
      </c>
      <c r="M7" s="641">
        <v>307.34100000000001</v>
      </c>
      <c r="N7" s="191">
        <v>307.54399999999998</v>
      </c>
      <c r="O7" s="191">
        <v>0.20399999999999999</v>
      </c>
      <c r="P7" s="191">
        <v>307.34100000000001</v>
      </c>
      <c r="Q7" s="191">
        <v>77.125</v>
      </c>
      <c r="R7" s="191">
        <v>0.20399999999999999</v>
      </c>
      <c r="S7" s="191">
        <v>230.21600000000001</v>
      </c>
      <c r="T7" s="191">
        <v>88553</v>
      </c>
      <c r="U7" s="191">
        <v>0.16400000000000001</v>
      </c>
      <c r="V7" s="191">
        <v>267.71499999999997</v>
      </c>
      <c r="W7" s="191">
        <v>77.125</v>
      </c>
      <c r="X7" s="191">
        <v>0.20399999999999999</v>
      </c>
      <c r="Y7" s="23">
        <v>230.21600000000001</v>
      </c>
      <c r="Z7" s="23">
        <v>88553</v>
      </c>
      <c r="AA7" s="23">
        <v>0.16400000000000001</v>
      </c>
      <c r="AB7" s="23">
        <v>267.71499999999997</v>
      </c>
      <c r="AC7" s="23">
        <v>551.73</v>
      </c>
      <c r="AD7" s="23">
        <v>82.12</v>
      </c>
    </row>
    <row r="8" spans="1:30" x14ac:dyDescent="0.25">
      <c r="A8" s="23" t="s">
        <v>724</v>
      </c>
      <c r="B8" s="636" t="s">
        <v>716</v>
      </c>
      <c r="C8" s="566" t="s">
        <v>38</v>
      </c>
      <c r="D8" s="190">
        <v>569.57000000000005</v>
      </c>
      <c r="E8" s="23">
        <v>997.05</v>
      </c>
      <c r="F8" s="191">
        <v>622.61</v>
      </c>
      <c r="G8" s="191">
        <v>0</v>
      </c>
      <c r="H8" s="191">
        <v>307.49</v>
      </c>
      <c r="I8" s="191">
        <v>307.70699999999999</v>
      </c>
      <c r="J8" s="191">
        <v>0.216</v>
      </c>
      <c r="K8" s="641">
        <v>307.49</v>
      </c>
      <c r="L8" s="641">
        <v>0</v>
      </c>
      <c r="M8" s="641">
        <v>307.49</v>
      </c>
      <c r="N8" s="191">
        <v>307.70699999999999</v>
      </c>
      <c r="O8" s="191">
        <v>0.216</v>
      </c>
      <c r="P8" s="191">
        <v>307.49</v>
      </c>
      <c r="Q8" s="191">
        <v>77.162999999999997</v>
      </c>
      <c r="R8" s="191">
        <v>0.216</v>
      </c>
      <c r="S8" s="191">
        <v>230.328</v>
      </c>
      <c r="T8" s="191">
        <v>88596</v>
      </c>
      <c r="U8" s="191">
        <v>0.17399999999999999</v>
      </c>
      <c r="V8" s="191">
        <v>267.84500000000003</v>
      </c>
      <c r="W8" s="191">
        <v>77.162999999999997</v>
      </c>
      <c r="X8" s="191">
        <v>0.216</v>
      </c>
      <c r="Y8" s="23">
        <v>230.328</v>
      </c>
      <c r="Z8" s="23">
        <v>88596</v>
      </c>
      <c r="AA8" s="23">
        <v>0.17399999999999999</v>
      </c>
      <c r="AB8" s="23">
        <v>267.84500000000003</v>
      </c>
      <c r="AC8" s="23">
        <v>551.49</v>
      </c>
      <c r="AD8" s="23">
        <v>82.14</v>
      </c>
    </row>
    <row r="9" spans="1:30" x14ac:dyDescent="0.25">
      <c r="A9" s="23" t="s">
        <v>724</v>
      </c>
      <c r="B9" s="636" t="s">
        <v>717</v>
      </c>
      <c r="C9" s="566" t="s">
        <v>38</v>
      </c>
      <c r="D9" s="190">
        <v>569.57000000000005</v>
      </c>
      <c r="E9" s="23">
        <v>997.05</v>
      </c>
      <c r="F9" s="191">
        <v>622.61</v>
      </c>
      <c r="G9" s="191">
        <v>0</v>
      </c>
      <c r="H9" s="191">
        <v>307.303</v>
      </c>
      <c r="I9" s="191">
        <v>307.50700000000001</v>
      </c>
      <c r="J9" s="191">
        <v>0.20399999999999999</v>
      </c>
      <c r="K9" s="641">
        <v>307.303</v>
      </c>
      <c r="L9" s="641">
        <v>0</v>
      </c>
      <c r="M9" s="641">
        <v>307.303</v>
      </c>
      <c r="N9" s="191">
        <v>307.50700000000001</v>
      </c>
      <c r="O9" s="191">
        <v>0.20399999999999999</v>
      </c>
      <c r="P9" s="191">
        <v>307.303</v>
      </c>
      <c r="Q9" s="191">
        <v>77.116</v>
      </c>
      <c r="R9" s="191">
        <v>0.20399999999999999</v>
      </c>
      <c r="S9" s="191">
        <v>230.18799999999999</v>
      </c>
      <c r="T9" s="191">
        <v>88543</v>
      </c>
      <c r="U9" s="191">
        <v>0.16400000000000001</v>
      </c>
      <c r="V9" s="191">
        <v>267.68200000000002</v>
      </c>
      <c r="W9" s="191">
        <v>77.116</v>
      </c>
      <c r="X9" s="191">
        <v>0.20399999999999999</v>
      </c>
      <c r="Y9" s="23">
        <v>230.18799999999999</v>
      </c>
      <c r="Z9" s="23">
        <v>88543</v>
      </c>
      <c r="AA9" s="23">
        <v>0.16400000000000001</v>
      </c>
      <c r="AB9" s="23">
        <v>267.68200000000002</v>
      </c>
      <c r="AC9" s="23">
        <v>551.5</v>
      </c>
      <c r="AD9" s="23">
        <v>82.15</v>
      </c>
    </row>
    <row r="10" spans="1:30" x14ac:dyDescent="0.25">
      <c r="A10" s="23" t="s">
        <v>724</v>
      </c>
      <c r="B10" s="636" t="s">
        <v>718</v>
      </c>
      <c r="C10" s="566" t="s">
        <v>38</v>
      </c>
      <c r="D10" s="190">
        <v>569.54999999999995</v>
      </c>
      <c r="E10" s="23">
        <v>997.05</v>
      </c>
      <c r="F10" s="191">
        <v>622.58000000000004</v>
      </c>
      <c r="G10" s="191">
        <v>0</v>
      </c>
      <c r="H10" s="191">
        <v>307.33999999999997</v>
      </c>
      <c r="I10" s="191">
        <v>307.57499999999999</v>
      </c>
      <c r="J10" s="191">
        <v>0.23400000000000001</v>
      </c>
      <c r="K10" s="641">
        <v>307.33999999999997</v>
      </c>
      <c r="L10" s="641">
        <v>0</v>
      </c>
      <c r="M10" s="641">
        <v>307.33999999999997</v>
      </c>
      <c r="N10" s="191">
        <v>307.57499999999999</v>
      </c>
      <c r="O10" s="191">
        <v>0.23400000000000001</v>
      </c>
      <c r="P10" s="191">
        <v>307.33999999999997</v>
      </c>
      <c r="Q10" s="191">
        <v>77.125</v>
      </c>
      <c r="R10" s="191">
        <v>0.23400000000000001</v>
      </c>
      <c r="S10" s="191">
        <v>230.215</v>
      </c>
      <c r="T10" s="191">
        <v>88553</v>
      </c>
      <c r="U10" s="191">
        <v>0.188</v>
      </c>
      <c r="V10" s="191">
        <v>267.714</v>
      </c>
      <c r="W10" s="191">
        <v>77.125</v>
      </c>
      <c r="X10" s="191">
        <v>0.23400000000000001</v>
      </c>
      <c r="Y10" s="23">
        <v>230.215</v>
      </c>
      <c r="Z10" s="23">
        <v>88553</v>
      </c>
      <c r="AA10" s="23">
        <v>0.188</v>
      </c>
      <c r="AB10" s="23">
        <v>267.714</v>
      </c>
      <c r="AC10" s="23">
        <v>551.35</v>
      </c>
      <c r="AD10" s="23">
        <v>82.16</v>
      </c>
    </row>
    <row r="11" spans="1:30" x14ac:dyDescent="0.25">
      <c r="A11" s="23" t="s">
        <v>724</v>
      </c>
      <c r="B11" s="636" t="s">
        <v>719</v>
      </c>
      <c r="C11" s="566" t="s">
        <v>38</v>
      </c>
      <c r="D11" s="190">
        <v>569.54</v>
      </c>
      <c r="E11" s="23">
        <v>997.05</v>
      </c>
      <c r="F11" s="191">
        <v>622.54999999999995</v>
      </c>
      <c r="G11" s="191">
        <v>0</v>
      </c>
      <c r="H11" s="191">
        <v>307.45699999999999</v>
      </c>
      <c r="I11" s="191">
        <v>307.654</v>
      </c>
      <c r="J11" s="191">
        <v>0.19700000000000001</v>
      </c>
      <c r="K11" s="641">
        <v>307.45699999999999</v>
      </c>
      <c r="L11" s="641">
        <v>0</v>
      </c>
      <c r="M11" s="641">
        <v>307.45699999999999</v>
      </c>
      <c r="N11" s="191">
        <v>307.654</v>
      </c>
      <c r="O11" s="191">
        <v>0.19700000000000001</v>
      </c>
      <c r="P11" s="191">
        <v>307.45699999999999</v>
      </c>
      <c r="Q11" s="191">
        <v>77.153999999999996</v>
      </c>
      <c r="R11" s="191">
        <v>0.19700000000000001</v>
      </c>
      <c r="S11" s="191">
        <v>230.303</v>
      </c>
      <c r="T11" s="191">
        <v>88587</v>
      </c>
      <c r="U11" s="191">
        <v>0.158</v>
      </c>
      <c r="V11" s="191">
        <v>267.81599999999997</v>
      </c>
      <c r="W11" s="191">
        <v>77.153999999999996</v>
      </c>
      <c r="X11" s="191">
        <v>0.19700000000000001</v>
      </c>
      <c r="Y11" s="23">
        <v>230.303</v>
      </c>
      <c r="Z11" s="23">
        <v>88587</v>
      </c>
      <c r="AA11" s="23">
        <v>0.158</v>
      </c>
      <c r="AB11" s="23">
        <v>267.81599999999997</v>
      </c>
      <c r="AC11" s="23">
        <v>551.20000000000005</v>
      </c>
      <c r="AD11" s="23">
        <v>82.18</v>
      </c>
    </row>
    <row r="12" spans="1:30" x14ac:dyDescent="0.25">
      <c r="A12" s="23" t="s">
        <v>724</v>
      </c>
      <c r="B12" s="636" t="s">
        <v>688</v>
      </c>
      <c r="C12" s="566" t="s">
        <v>38</v>
      </c>
      <c r="D12" s="190">
        <v>569.53</v>
      </c>
      <c r="E12" s="23">
        <v>997.05</v>
      </c>
      <c r="F12" s="191">
        <v>622.53</v>
      </c>
      <c r="G12" s="191">
        <v>0</v>
      </c>
      <c r="H12" s="191">
        <v>307.27</v>
      </c>
      <c r="I12" s="191">
        <v>307.46899999999999</v>
      </c>
      <c r="J12" s="191">
        <v>0.19900000000000001</v>
      </c>
      <c r="K12" s="641">
        <v>307.27</v>
      </c>
      <c r="L12" s="641">
        <v>0</v>
      </c>
      <c r="M12" s="641">
        <v>307.27</v>
      </c>
      <c r="N12" s="191">
        <v>307.46899999999999</v>
      </c>
      <c r="O12" s="191">
        <v>0.19900000000000001</v>
      </c>
      <c r="P12" s="191">
        <v>307.27</v>
      </c>
      <c r="Q12" s="191">
        <v>77.106999999999999</v>
      </c>
      <c r="R12" s="191">
        <v>0.19900000000000001</v>
      </c>
      <c r="S12" s="191">
        <v>230.16300000000001</v>
      </c>
      <c r="T12" s="191">
        <v>88533</v>
      </c>
      <c r="U12" s="191">
        <v>0.16</v>
      </c>
      <c r="V12" s="191">
        <v>267.65300000000002</v>
      </c>
      <c r="W12" s="191">
        <v>77.106999999999999</v>
      </c>
      <c r="X12" s="191">
        <v>0.19900000000000001</v>
      </c>
      <c r="Y12" s="23">
        <v>230.16300000000001</v>
      </c>
      <c r="Z12" s="23">
        <v>88533</v>
      </c>
      <c r="AA12" s="23">
        <v>0.16</v>
      </c>
      <c r="AB12" s="23">
        <v>267.65300000000002</v>
      </c>
      <c r="AC12" s="23">
        <v>551.14</v>
      </c>
      <c r="AD12" s="23">
        <v>82.19</v>
      </c>
    </row>
    <row r="13" spans="1:30" x14ac:dyDescent="0.25">
      <c r="A13" s="192">
        <v>46108</v>
      </c>
      <c r="B13" s="636" t="s">
        <v>696</v>
      </c>
      <c r="C13" s="566" t="s">
        <v>38</v>
      </c>
      <c r="D13" s="190">
        <v>569.52</v>
      </c>
      <c r="E13" s="23">
        <v>997.05</v>
      </c>
      <c r="F13" s="191">
        <v>622.52</v>
      </c>
      <c r="G13" s="191">
        <v>0</v>
      </c>
      <c r="H13" s="191">
        <v>307.10899999999998</v>
      </c>
      <c r="I13" s="191">
        <v>307.31599999999997</v>
      </c>
      <c r="J13" s="191">
        <v>0.20599999999999999</v>
      </c>
      <c r="K13" s="641">
        <v>307.10899999999998</v>
      </c>
      <c r="L13" s="641">
        <v>0</v>
      </c>
      <c r="M13" s="641">
        <v>307.10899999999998</v>
      </c>
      <c r="N13" s="191">
        <v>307.31599999999997</v>
      </c>
      <c r="O13" s="191">
        <v>0.20599999999999999</v>
      </c>
      <c r="P13" s="191">
        <v>307.10899999999998</v>
      </c>
      <c r="Q13" s="191">
        <v>77.066999999999993</v>
      </c>
      <c r="R13" s="191">
        <v>0.20599999999999999</v>
      </c>
      <c r="S13" s="191">
        <v>230.042</v>
      </c>
      <c r="T13" s="191">
        <v>88487</v>
      </c>
      <c r="U13" s="191">
        <v>0.16600000000000001</v>
      </c>
      <c r="V13" s="191">
        <v>267.51299999999998</v>
      </c>
      <c r="W13" s="191">
        <v>77.066999999999993</v>
      </c>
      <c r="X13" s="191">
        <v>0.20599999999999999</v>
      </c>
      <c r="Y13" s="23">
        <v>230.042</v>
      </c>
      <c r="Z13" s="23">
        <v>88487</v>
      </c>
      <c r="AA13" s="23">
        <v>0.16600000000000001</v>
      </c>
      <c r="AB13" s="23">
        <v>267.51299999999998</v>
      </c>
      <c r="AC13" s="23">
        <v>551.12</v>
      </c>
      <c r="AD13" s="23">
        <v>82.2</v>
      </c>
    </row>
    <row r="14" spans="1:30" x14ac:dyDescent="0.25">
      <c r="A14" s="23" t="s">
        <v>687</v>
      </c>
      <c r="B14" s="635">
        <v>0</v>
      </c>
      <c r="C14" s="566" t="s">
        <v>38</v>
      </c>
      <c r="D14" s="190">
        <v>569.52</v>
      </c>
      <c r="E14" s="23">
        <v>997.05</v>
      </c>
      <c r="F14" s="191">
        <v>622.52</v>
      </c>
      <c r="G14" s="191">
        <v>0</v>
      </c>
      <c r="H14" s="191">
        <v>306.767</v>
      </c>
      <c r="I14" s="191">
        <v>306.96899999999999</v>
      </c>
      <c r="J14" s="191">
        <v>0.20200000000000001</v>
      </c>
      <c r="K14" s="641">
        <v>306.767</v>
      </c>
      <c r="L14" s="641">
        <v>0</v>
      </c>
      <c r="M14" s="641">
        <v>306.767</v>
      </c>
      <c r="N14" s="191">
        <v>306.96899999999999</v>
      </c>
      <c r="O14" s="191">
        <v>0.20200000000000001</v>
      </c>
      <c r="P14" s="191">
        <v>306.767</v>
      </c>
      <c r="Q14" s="191">
        <v>76.980999999999995</v>
      </c>
      <c r="R14" s="191">
        <v>0.20200000000000001</v>
      </c>
      <c r="S14" s="191">
        <v>229.786</v>
      </c>
      <c r="T14" s="191">
        <v>88388</v>
      </c>
      <c r="U14" s="191">
        <v>0.16200000000000001</v>
      </c>
      <c r="V14" s="191">
        <v>267.21499999999997</v>
      </c>
      <c r="W14" s="191">
        <v>76.980999999999995</v>
      </c>
      <c r="X14" s="191">
        <v>0.20200000000000001</v>
      </c>
      <c r="Y14" s="23">
        <v>229.786</v>
      </c>
      <c r="Z14" s="23">
        <v>88388</v>
      </c>
      <c r="AA14" s="23">
        <v>0.16200000000000001</v>
      </c>
      <c r="AB14" s="23">
        <v>267.21499999999997</v>
      </c>
      <c r="AC14" s="23">
        <v>551.15</v>
      </c>
      <c r="AD14" s="23">
        <v>82.21</v>
      </c>
    </row>
    <row r="15" spans="1:30" x14ac:dyDescent="0.25">
      <c r="A15" s="23" t="s">
        <v>687</v>
      </c>
      <c r="B15" s="636" t="s">
        <v>699</v>
      </c>
      <c r="C15" s="566" t="s">
        <v>38</v>
      </c>
      <c r="D15" s="190">
        <v>569.5</v>
      </c>
      <c r="E15" s="23">
        <v>997.05</v>
      </c>
      <c r="F15" s="191">
        <v>622.49</v>
      </c>
      <c r="G15" s="191">
        <v>0</v>
      </c>
      <c r="H15" s="191">
        <v>306.90199999999999</v>
      </c>
      <c r="I15" s="191">
        <v>307.11599999999999</v>
      </c>
      <c r="J15" s="191">
        <v>0.214</v>
      </c>
      <c r="K15" s="641">
        <v>306.90199999999999</v>
      </c>
      <c r="L15" s="641">
        <v>0</v>
      </c>
      <c r="M15" s="641">
        <v>306.90199999999999</v>
      </c>
      <c r="N15" s="191">
        <v>307.11599999999999</v>
      </c>
      <c r="O15" s="191">
        <v>0.214</v>
      </c>
      <c r="P15" s="191">
        <v>306.90199999999999</v>
      </c>
      <c r="Q15" s="191">
        <v>77.015000000000001</v>
      </c>
      <c r="R15" s="191">
        <v>0.214</v>
      </c>
      <c r="S15" s="191">
        <v>229.887</v>
      </c>
      <c r="T15" s="191">
        <v>88427</v>
      </c>
      <c r="U15" s="191">
        <v>0.17199999999999999</v>
      </c>
      <c r="V15" s="191">
        <v>267.33199999999999</v>
      </c>
      <c r="W15" s="191">
        <v>77.015000000000001</v>
      </c>
      <c r="X15" s="191">
        <v>0.214</v>
      </c>
      <c r="Y15" s="23">
        <v>229.887</v>
      </c>
      <c r="Z15" s="23">
        <v>88427</v>
      </c>
      <c r="AA15" s="23">
        <v>0.17199999999999999</v>
      </c>
      <c r="AB15" s="23">
        <v>267.33199999999999</v>
      </c>
      <c r="AC15" s="23">
        <v>551.01</v>
      </c>
      <c r="AD15" s="23">
        <v>82.22</v>
      </c>
    </row>
    <row r="16" spans="1:30" x14ac:dyDescent="0.25">
      <c r="A16" s="23" t="s">
        <v>687</v>
      </c>
      <c r="B16" s="636" t="s">
        <v>700</v>
      </c>
      <c r="C16" s="566" t="s">
        <v>38</v>
      </c>
      <c r="D16" s="190">
        <v>569.49</v>
      </c>
      <c r="E16" s="23">
        <v>997.05</v>
      </c>
      <c r="F16" s="191">
        <v>622.45000000000005</v>
      </c>
      <c r="G16" s="191">
        <v>0</v>
      </c>
      <c r="H16" s="191">
        <v>307.02800000000002</v>
      </c>
      <c r="I16" s="191">
        <v>307.22800000000001</v>
      </c>
      <c r="J16" s="191">
        <v>0.2</v>
      </c>
      <c r="K16" s="641">
        <v>307.02800000000002</v>
      </c>
      <c r="L16" s="641">
        <v>0</v>
      </c>
      <c r="M16" s="641">
        <v>307.02800000000002</v>
      </c>
      <c r="N16" s="191">
        <v>307.22800000000001</v>
      </c>
      <c r="O16" s="191">
        <v>0.2</v>
      </c>
      <c r="P16" s="191">
        <v>307.02800000000002</v>
      </c>
      <c r="Q16" s="191">
        <v>77.046999999999997</v>
      </c>
      <c r="R16" s="191">
        <v>0.2</v>
      </c>
      <c r="S16" s="191">
        <v>229.98099999999999</v>
      </c>
      <c r="T16" s="191">
        <v>88463</v>
      </c>
      <c r="U16" s="191">
        <v>0.16</v>
      </c>
      <c r="V16" s="191">
        <v>267.44200000000001</v>
      </c>
      <c r="W16" s="191">
        <v>77.046999999999997</v>
      </c>
      <c r="X16" s="191">
        <v>0.2</v>
      </c>
      <c r="Y16" s="23">
        <v>229.98099999999999</v>
      </c>
      <c r="Z16" s="23">
        <v>88463</v>
      </c>
      <c r="AA16" s="23">
        <v>0.16</v>
      </c>
      <c r="AB16" s="23">
        <v>267.44200000000001</v>
      </c>
      <c r="AC16" s="23">
        <v>550.80999999999995</v>
      </c>
      <c r="AD16" s="23">
        <v>82.25</v>
      </c>
    </row>
    <row r="17" spans="1:48" x14ac:dyDescent="0.25">
      <c r="A17" s="23" t="s">
        <v>687</v>
      </c>
      <c r="B17" s="636" t="s">
        <v>701</v>
      </c>
      <c r="C17" s="566" t="s">
        <v>38</v>
      </c>
      <c r="D17" s="190">
        <v>569.48</v>
      </c>
      <c r="E17" s="23">
        <v>997.05</v>
      </c>
      <c r="F17" s="191">
        <v>622.42999999999995</v>
      </c>
      <c r="G17" s="191">
        <v>0</v>
      </c>
      <c r="H17" s="191">
        <v>307.08300000000003</v>
      </c>
      <c r="I17" s="191">
        <v>307.28399999999999</v>
      </c>
      <c r="J17" s="191">
        <v>0.20100000000000001</v>
      </c>
      <c r="K17" s="641">
        <v>307.08300000000003</v>
      </c>
      <c r="L17" s="641">
        <v>0</v>
      </c>
      <c r="M17" s="641">
        <v>307.08300000000003</v>
      </c>
      <c r="N17" s="191">
        <v>307.28399999999999</v>
      </c>
      <c r="O17" s="191">
        <v>0.20100000000000001</v>
      </c>
      <c r="P17" s="191">
        <v>307.08300000000003</v>
      </c>
      <c r="Q17" s="191">
        <v>77.061000000000007</v>
      </c>
      <c r="R17" s="191">
        <v>0.20100000000000001</v>
      </c>
      <c r="S17" s="191">
        <v>230.023</v>
      </c>
      <c r="T17" s="191">
        <v>88479</v>
      </c>
      <c r="U17" s="191">
        <v>0.161</v>
      </c>
      <c r="V17" s="191">
        <v>267.49</v>
      </c>
      <c r="W17" s="191">
        <v>77.061000000000007</v>
      </c>
      <c r="X17" s="191">
        <v>0.20100000000000001</v>
      </c>
      <c r="Y17" s="23">
        <v>230.023</v>
      </c>
      <c r="Z17" s="23">
        <v>88479</v>
      </c>
      <c r="AA17" s="23">
        <v>0.161</v>
      </c>
      <c r="AB17" s="23">
        <v>267.49</v>
      </c>
      <c r="AC17" s="23">
        <v>550.66</v>
      </c>
      <c r="AD17" s="23">
        <v>82.25</v>
      </c>
    </row>
    <row r="18" spans="1:48" x14ac:dyDescent="0.25">
      <c r="A18" s="23" t="s">
        <v>687</v>
      </c>
      <c r="B18" s="636" t="s">
        <v>702</v>
      </c>
      <c r="C18" s="566" t="s">
        <v>38</v>
      </c>
      <c r="D18" s="190">
        <v>569.47</v>
      </c>
      <c r="E18" s="23">
        <v>997.05</v>
      </c>
      <c r="F18" s="191">
        <v>622.4</v>
      </c>
      <c r="G18" s="191">
        <v>0</v>
      </c>
      <c r="H18" s="191">
        <v>307.19</v>
      </c>
      <c r="I18" s="191">
        <v>307.38799999999998</v>
      </c>
      <c r="J18" s="191">
        <v>0.19800000000000001</v>
      </c>
      <c r="K18" s="641">
        <v>307.19</v>
      </c>
      <c r="L18" s="641">
        <v>0</v>
      </c>
      <c r="M18" s="641">
        <v>307.19</v>
      </c>
      <c r="N18" s="191">
        <v>307.38799999999998</v>
      </c>
      <c r="O18" s="191">
        <v>0.19800000000000001</v>
      </c>
      <c r="P18" s="191">
        <v>307.19</v>
      </c>
      <c r="Q18" s="191">
        <v>77.087999999999994</v>
      </c>
      <c r="R18" s="191">
        <v>0.19800000000000001</v>
      </c>
      <c r="S18" s="191">
        <v>230.10300000000001</v>
      </c>
      <c r="T18" s="191">
        <v>88510</v>
      </c>
      <c r="U18" s="191">
        <v>0.159</v>
      </c>
      <c r="V18" s="191">
        <v>267.584</v>
      </c>
      <c r="W18" s="191">
        <v>77.087999999999994</v>
      </c>
      <c r="X18" s="191">
        <v>0.19800000000000001</v>
      </c>
      <c r="Y18" s="23">
        <v>230.10300000000001</v>
      </c>
      <c r="Z18" s="23">
        <v>88510</v>
      </c>
      <c r="AA18" s="23">
        <v>0.159</v>
      </c>
      <c r="AB18" s="23">
        <v>267.584</v>
      </c>
      <c r="AC18" s="23">
        <v>550.52</v>
      </c>
      <c r="AD18" s="23">
        <v>82.27</v>
      </c>
    </row>
    <row r="19" spans="1:48" x14ac:dyDescent="0.25">
      <c r="A19" s="23" t="s">
        <v>687</v>
      </c>
      <c r="B19" s="636" t="s">
        <v>703</v>
      </c>
      <c r="C19" s="566" t="s">
        <v>38</v>
      </c>
      <c r="D19" s="190">
        <v>569.46</v>
      </c>
      <c r="E19" s="23">
        <v>997.05</v>
      </c>
      <c r="F19" s="191">
        <v>622.39</v>
      </c>
      <c r="G19" s="191">
        <v>0</v>
      </c>
      <c r="H19" s="191">
        <v>306.923</v>
      </c>
      <c r="I19" s="191">
        <v>307.12799999999999</v>
      </c>
      <c r="J19" s="191">
        <v>0.20499999999999999</v>
      </c>
      <c r="K19" s="641">
        <v>306.923</v>
      </c>
      <c r="L19" s="641">
        <v>0</v>
      </c>
      <c r="M19" s="641">
        <v>306.923</v>
      </c>
      <c r="N19" s="191">
        <v>307.12799999999999</v>
      </c>
      <c r="O19" s="191">
        <v>0.20499999999999999</v>
      </c>
      <c r="P19" s="191">
        <v>306.923</v>
      </c>
      <c r="Q19" s="191">
        <v>77.02</v>
      </c>
      <c r="R19" s="191">
        <v>0.20499999999999999</v>
      </c>
      <c r="S19" s="191">
        <v>229.90299999999999</v>
      </c>
      <c r="T19" s="191">
        <v>88433</v>
      </c>
      <c r="U19" s="191">
        <v>0.16500000000000001</v>
      </c>
      <c r="V19" s="191">
        <v>267.35000000000002</v>
      </c>
      <c r="W19" s="191">
        <v>77.02</v>
      </c>
      <c r="X19" s="191">
        <v>0.20499999999999999</v>
      </c>
      <c r="Y19" s="23">
        <v>229.90299999999999</v>
      </c>
      <c r="Z19" s="23">
        <v>88433</v>
      </c>
      <c r="AA19" s="23">
        <v>0.16500000000000001</v>
      </c>
      <c r="AB19" s="23">
        <v>267.35000000000002</v>
      </c>
      <c r="AC19" s="23">
        <v>550.48</v>
      </c>
      <c r="AD19" s="23">
        <v>82.27</v>
      </c>
    </row>
    <row r="20" spans="1:48" x14ac:dyDescent="0.25">
      <c r="A20" s="23" t="s">
        <v>687</v>
      </c>
      <c r="B20" s="636" t="s">
        <v>704</v>
      </c>
      <c r="C20" s="566" t="s">
        <v>38</v>
      </c>
      <c r="D20" s="190">
        <v>569.46</v>
      </c>
      <c r="E20" s="23">
        <v>997.05</v>
      </c>
      <c r="F20" s="191">
        <v>622.39</v>
      </c>
      <c r="G20" s="191">
        <v>0</v>
      </c>
      <c r="H20" s="191">
        <v>306.82799999999997</v>
      </c>
      <c r="I20" s="191">
        <v>307.03199999999998</v>
      </c>
      <c r="J20" s="191">
        <v>0.20399999999999999</v>
      </c>
      <c r="K20" s="641">
        <v>306.82799999999997</v>
      </c>
      <c r="L20" s="641">
        <v>0</v>
      </c>
      <c r="M20" s="641">
        <v>306.82799999999997</v>
      </c>
      <c r="N20" s="191">
        <v>307.03199999999998</v>
      </c>
      <c r="O20" s="191">
        <v>0.20399999999999999</v>
      </c>
      <c r="P20" s="191">
        <v>306.82799999999997</v>
      </c>
      <c r="Q20" s="191">
        <v>76.997</v>
      </c>
      <c r="R20" s="191">
        <v>0.20399999999999999</v>
      </c>
      <c r="S20" s="191">
        <v>229.83199999999999</v>
      </c>
      <c r="T20" s="191">
        <v>88406</v>
      </c>
      <c r="U20" s="191">
        <v>0.16400000000000001</v>
      </c>
      <c r="V20" s="191">
        <v>267.26799999999997</v>
      </c>
      <c r="W20" s="191">
        <v>76.997</v>
      </c>
      <c r="X20" s="191">
        <v>0.20399999999999999</v>
      </c>
      <c r="Y20" s="23">
        <v>229.83199999999999</v>
      </c>
      <c r="Z20" s="23">
        <v>88406</v>
      </c>
      <c r="AA20" s="23">
        <v>0.16400000000000001</v>
      </c>
      <c r="AB20" s="23">
        <v>267.26799999999997</v>
      </c>
      <c r="AC20" s="23">
        <v>550.45000000000005</v>
      </c>
      <c r="AD20" s="23">
        <v>82.28</v>
      </c>
    </row>
    <row r="21" spans="1:48" x14ac:dyDescent="0.25">
      <c r="A21" s="23" t="s">
        <v>687</v>
      </c>
      <c r="B21" s="636" t="s">
        <v>705</v>
      </c>
      <c r="C21" s="566" t="s">
        <v>38</v>
      </c>
      <c r="D21" s="190">
        <v>569.45000000000005</v>
      </c>
      <c r="E21" s="23">
        <v>997.05</v>
      </c>
      <c r="F21" s="191">
        <v>622.37</v>
      </c>
      <c r="G21" s="191">
        <v>0</v>
      </c>
      <c r="H21" s="191">
        <v>306.673</v>
      </c>
      <c r="I21" s="191">
        <v>306.88299999999998</v>
      </c>
      <c r="J21" s="191">
        <v>0.21</v>
      </c>
      <c r="K21" s="641">
        <v>306.673</v>
      </c>
      <c r="L21" s="641">
        <v>0</v>
      </c>
      <c r="M21" s="641">
        <v>306.673</v>
      </c>
      <c r="N21" s="191">
        <v>306.88299999999998</v>
      </c>
      <c r="O21" s="191">
        <v>0.21</v>
      </c>
      <c r="P21" s="191">
        <v>306.673</v>
      </c>
      <c r="Q21" s="191">
        <v>76.957999999999998</v>
      </c>
      <c r="R21" s="191">
        <v>0.21</v>
      </c>
      <c r="S21" s="191">
        <v>229.71600000000001</v>
      </c>
      <c r="T21" s="191">
        <v>88361</v>
      </c>
      <c r="U21" s="191">
        <v>0.16900000000000001</v>
      </c>
      <c r="V21" s="191">
        <v>267.13299999999998</v>
      </c>
      <c r="W21" s="191">
        <v>76.957999999999998</v>
      </c>
      <c r="X21" s="191">
        <v>0.21</v>
      </c>
      <c r="Y21" s="23">
        <v>229.71600000000001</v>
      </c>
      <c r="Z21" s="23">
        <v>88361</v>
      </c>
      <c r="AA21" s="23">
        <v>0.16900000000000001</v>
      </c>
      <c r="AB21" s="23">
        <v>267.13299999999998</v>
      </c>
      <c r="AC21" s="23">
        <v>550.41999999999996</v>
      </c>
      <c r="AD21" s="23">
        <v>82.29</v>
      </c>
    </row>
    <row r="22" spans="1:48" x14ac:dyDescent="0.25">
      <c r="A22" s="23" t="s">
        <v>687</v>
      </c>
      <c r="B22" s="636" t="s">
        <v>706</v>
      </c>
      <c r="C22" s="566" t="s">
        <v>38</v>
      </c>
      <c r="D22" s="190">
        <v>569.44000000000005</v>
      </c>
      <c r="E22" s="23">
        <v>997.05</v>
      </c>
      <c r="F22" s="191">
        <v>622.36</v>
      </c>
      <c r="G22" s="191">
        <v>0</v>
      </c>
      <c r="H22" s="191">
        <v>306.54199999999997</v>
      </c>
      <c r="I22" s="191">
        <v>306.745</v>
      </c>
      <c r="J22" s="191">
        <v>0.20300000000000001</v>
      </c>
      <c r="K22" s="641">
        <v>306.54199999999997</v>
      </c>
      <c r="L22" s="641">
        <v>0</v>
      </c>
      <c r="M22" s="641">
        <v>306.54199999999997</v>
      </c>
      <c r="N22" s="191">
        <v>306.745</v>
      </c>
      <c r="O22" s="191">
        <v>0.20300000000000001</v>
      </c>
      <c r="P22" s="191">
        <v>306.54199999999997</v>
      </c>
      <c r="Q22" s="191">
        <v>76.924999999999997</v>
      </c>
      <c r="R22" s="191">
        <v>0.20300000000000001</v>
      </c>
      <c r="S22" s="191">
        <v>229.61799999999999</v>
      </c>
      <c r="T22" s="191">
        <v>88323</v>
      </c>
      <c r="U22" s="191">
        <v>0.16300000000000001</v>
      </c>
      <c r="V22" s="191">
        <v>267.01900000000001</v>
      </c>
      <c r="W22" s="191">
        <v>76.924999999999997</v>
      </c>
      <c r="X22" s="191">
        <v>0.20300000000000001</v>
      </c>
      <c r="Y22" s="23">
        <v>229.61799999999999</v>
      </c>
      <c r="Z22" s="23">
        <v>88323</v>
      </c>
      <c r="AA22" s="23">
        <v>0.16300000000000001</v>
      </c>
      <c r="AB22" s="23">
        <v>267.01900000000001</v>
      </c>
      <c r="AC22" s="23">
        <v>550.36</v>
      </c>
      <c r="AD22" s="23">
        <v>82.3</v>
      </c>
    </row>
    <row r="23" spans="1:48" x14ac:dyDescent="0.25">
      <c r="A23" s="23" t="s">
        <v>687</v>
      </c>
      <c r="B23" s="636" t="s">
        <v>707</v>
      </c>
      <c r="C23" s="566" t="s">
        <v>38</v>
      </c>
      <c r="D23" s="190">
        <v>569.44000000000005</v>
      </c>
      <c r="E23" s="23">
        <v>997.05</v>
      </c>
      <c r="F23" s="191">
        <v>622.35</v>
      </c>
      <c r="G23" s="191">
        <v>0</v>
      </c>
      <c r="H23" s="191">
        <v>306.26900000000001</v>
      </c>
      <c r="I23" s="191">
        <v>306.48</v>
      </c>
      <c r="J23" s="191">
        <v>0.21099999999999999</v>
      </c>
      <c r="K23" s="641">
        <v>306.26900000000001</v>
      </c>
      <c r="L23" s="641">
        <v>0</v>
      </c>
      <c r="M23" s="641">
        <v>306.26900000000001</v>
      </c>
      <c r="N23" s="191">
        <v>306.48</v>
      </c>
      <c r="O23" s="191">
        <v>0.21099999999999999</v>
      </c>
      <c r="P23" s="191">
        <v>306.26900000000001</v>
      </c>
      <c r="Q23" s="191">
        <v>76.855999999999995</v>
      </c>
      <c r="R23" s="191">
        <v>0.21099999999999999</v>
      </c>
      <c r="S23" s="642">
        <v>229.58699999999999</v>
      </c>
      <c r="T23" s="191"/>
      <c r="U23" s="191"/>
      <c r="V23" s="191"/>
      <c r="W23" s="191">
        <v>76.855999999999995</v>
      </c>
      <c r="X23" s="191">
        <v>0.21099999999999999</v>
      </c>
      <c r="Y23" s="23">
        <v>229.41300000000001</v>
      </c>
      <c r="Z23" s="23">
        <v>88245</v>
      </c>
      <c r="AA23" s="23">
        <v>0.16900000000000001</v>
      </c>
      <c r="AB23" s="23">
        <v>266.78100000000001</v>
      </c>
      <c r="AC23" s="23">
        <v>550.35</v>
      </c>
      <c r="AD23" s="23">
        <v>82.3</v>
      </c>
    </row>
    <row r="24" spans="1:48" x14ac:dyDescent="0.25">
      <c r="A24" s="23" t="s">
        <v>687</v>
      </c>
      <c r="B24" s="636" t="s">
        <v>708</v>
      </c>
      <c r="C24" s="566" t="s">
        <v>38</v>
      </c>
      <c r="D24" s="190">
        <v>569.42999999999995</v>
      </c>
      <c r="E24" s="23">
        <v>997.05</v>
      </c>
      <c r="F24" s="191">
        <v>622.33000000000004</v>
      </c>
      <c r="G24" s="191">
        <v>0</v>
      </c>
      <c r="H24" s="191">
        <v>306.50200000000001</v>
      </c>
      <c r="I24" s="191">
        <v>306.70699999999999</v>
      </c>
      <c r="J24" s="191">
        <v>0.20499999999999999</v>
      </c>
      <c r="K24" s="641">
        <v>306.50200000000001</v>
      </c>
      <c r="L24" s="641">
        <v>0</v>
      </c>
      <c r="M24" s="641">
        <v>306.50200000000001</v>
      </c>
      <c r="N24" s="191">
        <v>306.70699999999999</v>
      </c>
      <c r="O24" s="191">
        <v>0.20499999999999999</v>
      </c>
      <c r="P24" s="191">
        <v>306.50200000000001</v>
      </c>
      <c r="Q24" s="191">
        <v>76.915000000000006</v>
      </c>
      <c r="R24" s="191">
        <v>0.20499999999999999</v>
      </c>
      <c r="S24" s="191">
        <v>229.58699999999999</v>
      </c>
      <c r="T24" s="191">
        <v>88312</v>
      </c>
      <c r="U24" s="191">
        <v>0.16500000000000001</v>
      </c>
      <c r="V24" s="191">
        <v>266.98399999999998</v>
      </c>
      <c r="W24" s="191">
        <v>76.915000000000006</v>
      </c>
      <c r="X24" s="191">
        <v>0.20499999999999999</v>
      </c>
      <c r="Y24" s="23">
        <v>229.58699999999999</v>
      </c>
      <c r="Z24" s="23">
        <v>88312</v>
      </c>
      <c r="AA24" s="23">
        <v>0.16500000000000001</v>
      </c>
      <c r="AB24" s="23">
        <v>266.98399999999998</v>
      </c>
      <c r="AC24" s="23">
        <v>550.19000000000005</v>
      </c>
      <c r="AD24" s="23">
        <v>82.31</v>
      </c>
    </row>
    <row r="25" spans="1:48" x14ac:dyDescent="0.25">
      <c r="A25" s="23" t="s">
        <v>687</v>
      </c>
      <c r="B25" s="636" t="s">
        <v>709</v>
      </c>
      <c r="C25" s="566" t="s">
        <v>38</v>
      </c>
      <c r="D25" s="190">
        <v>569.42999999999995</v>
      </c>
      <c r="E25" s="23">
        <v>997.05</v>
      </c>
      <c r="F25" s="191">
        <v>622.30999999999995</v>
      </c>
      <c r="G25" s="191">
        <v>0</v>
      </c>
      <c r="H25" s="191">
        <v>306.46300000000002</v>
      </c>
      <c r="I25" s="191">
        <v>306.661</v>
      </c>
      <c r="J25" s="191">
        <v>0.19800000000000001</v>
      </c>
      <c r="K25" s="641">
        <v>306.46300000000002</v>
      </c>
      <c r="L25" s="641">
        <v>0</v>
      </c>
      <c r="M25" s="641">
        <v>306.46300000000002</v>
      </c>
      <c r="N25" s="191">
        <v>306.661</v>
      </c>
      <c r="O25" s="191">
        <v>0.19800000000000001</v>
      </c>
      <c r="P25" s="191">
        <v>306.46300000000002</v>
      </c>
      <c r="Q25" s="191">
        <v>76.905000000000001</v>
      </c>
      <c r="R25" s="191">
        <v>0.19800000000000001</v>
      </c>
      <c r="S25" s="191">
        <v>229.55799999999999</v>
      </c>
      <c r="T25" s="191">
        <v>88300</v>
      </c>
      <c r="U25" s="191">
        <v>0.159</v>
      </c>
      <c r="V25" s="191">
        <v>266.95</v>
      </c>
      <c r="W25" s="191">
        <v>76.905000000000001</v>
      </c>
      <c r="X25" s="191">
        <v>0.19800000000000001</v>
      </c>
      <c r="Y25" s="23">
        <v>229.55799999999999</v>
      </c>
      <c r="Z25" s="23">
        <v>88300</v>
      </c>
      <c r="AA25" s="23">
        <v>0.159</v>
      </c>
      <c r="AB25" s="23">
        <v>266.95</v>
      </c>
      <c r="AC25" s="23">
        <v>550.09</v>
      </c>
      <c r="AD25" s="23">
        <v>82.32</v>
      </c>
    </row>
    <row r="26" spans="1:48" hidden="1" x14ac:dyDescent="0.25">
      <c r="A26" s="23" t="s">
        <v>687</v>
      </c>
      <c r="B26" s="637" t="s">
        <v>710</v>
      </c>
      <c r="C26" s="23" t="s">
        <v>38</v>
      </c>
      <c r="D26" s="23">
        <v>569.41</v>
      </c>
      <c r="E26" s="23">
        <v>997.05</v>
      </c>
      <c r="F26" s="23">
        <v>622.27</v>
      </c>
      <c r="G26" s="23">
        <v>0</v>
      </c>
      <c r="H26" s="23">
        <v>306.61700000000002</v>
      </c>
      <c r="I26" s="23">
        <v>306.81400000000002</v>
      </c>
      <c r="J26" s="23">
        <v>0.19700000000000001</v>
      </c>
      <c r="K26" s="642">
        <v>306.61700000000002</v>
      </c>
      <c r="L26" s="642">
        <v>0</v>
      </c>
      <c r="M26" s="642">
        <v>306.61700000000002</v>
      </c>
      <c r="N26" s="23">
        <v>306.81400000000002</v>
      </c>
      <c r="O26" s="23">
        <v>0.19700000000000001</v>
      </c>
      <c r="P26" s="23">
        <v>306.61700000000002</v>
      </c>
      <c r="Q26" s="23">
        <v>76.944000000000003</v>
      </c>
      <c r="R26" s="23">
        <v>0.19700000000000001</v>
      </c>
      <c r="S26" s="23">
        <v>229.67400000000001</v>
      </c>
      <c r="T26" s="23">
        <v>88345</v>
      </c>
      <c r="U26" s="23">
        <v>0.158</v>
      </c>
      <c r="V26" s="23">
        <v>267.084</v>
      </c>
      <c r="W26" s="23">
        <v>76.944000000000003</v>
      </c>
      <c r="X26" s="23">
        <v>0.19700000000000001</v>
      </c>
      <c r="Y26" s="23">
        <v>229.67400000000001</v>
      </c>
      <c r="Z26" s="23">
        <v>88345</v>
      </c>
      <c r="AA26" s="23">
        <v>0.158</v>
      </c>
      <c r="AB26" s="23">
        <v>267.084</v>
      </c>
      <c r="AC26" s="23">
        <v>549.88</v>
      </c>
      <c r="AD26" s="23">
        <v>82.34</v>
      </c>
    </row>
    <row r="27" spans="1:48" x14ac:dyDescent="0.25">
      <c r="Q27" s="650">
        <f>SUM(Q2:Q25)</f>
        <v>1849.616</v>
      </c>
      <c r="R27" s="650">
        <f>SUM(R2:R25)</f>
        <v>4.886000000000001</v>
      </c>
      <c r="S27" s="650">
        <f>SUM(S2:S25)</f>
        <v>5521.202000000002</v>
      </c>
      <c r="T27" s="650">
        <f>SUM(T2:T25)</f>
        <v>1946780</v>
      </c>
      <c r="W27" s="650">
        <f>SUM(W2:W25)</f>
        <v>1849.616</v>
      </c>
      <c r="X27" s="650">
        <f>SUM(X2:X25)</f>
        <v>4.886000000000001</v>
      </c>
      <c r="Y27" s="12">
        <f>SUM(Y2:Y25)</f>
        <v>5521.0280000000012</v>
      </c>
    </row>
    <row r="29" spans="1:48" x14ac:dyDescent="0.25">
      <c r="Z29" s="12">
        <f>Z2/1000</f>
        <v>88.692999999999998</v>
      </c>
    </row>
    <row r="30" spans="1:48" x14ac:dyDescent="0.25">
      <c r="Z30" s="12">
        <f t="shared" ref="Z30:Z54" si="0">Z3/1000</f>
        <v>88.652000000000001</v>
      </c>
    </row>
    <row r="31" spans="1:48" x14ac:dyDescent="0.25">
      <c r="B31" s="565"/>
      <c r="C31" s="565"/>
      <c r="D31" s="565"/>
      <c r="E31" s="565"/>
      <c r="F31" s="565"/>
      <c r="G31" s="565"/>
      <c r="H31" s="565"/>
      <c r="I31" s="565"/>
      <c r="J31" s="565"/>
      <c r="K31" s="565"/>
      <c r="L31" s="565"/>
      <c r="M31" s="565"/>
      <c r="N31" s="565"/>
      <c r="O31" s="565"/>
      <c r="P31" s="565"/>
      <c r="Q31" s="565"/>
      <c r="R31" s="565"/>
      <c r="S31" s="565"/>
      <c r="T31" s="565"/>
      <c r="U31" s="565"/>
      <c r="V31" s="565"/>
      <c r="W31" s="565"/>
      <c r="X31" s="565"/>
      <c r="Y31" s="565"/>
      <c r="Z31" s="12">
        <f t="shared" si="0"/>
        <v>88.66</v>
      </c>
      <c r="AA31" s="565"/>
      <c r="AB31" s="565"/>
      <c r="AC31" s="565"/>
      <c r="AD31" s="565"/>
      <c r="AE31" s="565"/>
      <c r="AF31" s="565"/>
      <c r="AG31" s="565"/>
      <c r="AH31" s="565"/>
      <c r="AI31" s="565"/>
      <c r="AJ31" s="565"/>
      <c r="AK31" s="565"/>
      <c r="AL31" s="565"/>
      <c r="AM31" s="565"/>
      <c r="AN31" s="565"/>
      <c r="AO31" s="565"/>
      <c r="AP31" s="565"/>
      <c r="AQ31" s="565"/>
      <c r="AR31" s="565"/>
      <c r="AS31" s="565"/>
      <c r="AT31" s="565"/>
      <c r="AU31" s="565"/>
      <c r="AV31" s="565"/>
    </row>
    <row r="32" spans="1:48" x14ac:dyDescent="0.25">
      <c r="B32" s="565"/>
      <c r="C32" s="565"/>
      <c r="D32" s="565"/>
      <c r="E32" s="565"/>
      <c r="F32" s="565"/>
      <c r="G32" s="565"/>
      <c r="H32" s="565"/>
      <c r="I32" s="565"/>
      <c r="J32" s="565"/>
      <c r="K32" s="565"/>
      <c r="L32" s="565"/>
      <c r="M32" s="565"/>
      <c r="N32" s="565"/>
      <c r="O32" s="565"/>
      <c r="P32" s="565"/>
      <c r="Q32" s="565"/>
      <c r="R32" s="565"/>
      <c r="S32" s="565"/>
      <c r="T32" s="565"/>
      <c r="U32" s="565"/>
      <c r="V32" s="565"/>
      <c r="W32" s="565"/>
      <c r="X32" s="565"/>
      <c r="Y32" s="565"/>
      <c r="Z32" s="12">
        <f t="shared" si="0"/>
        <v>88.614000000000004</v>
      </c>
      <c r="AA32" s="565"/>
      <c r="AB32" s="565"/>
      <c r="AC32" s="565"/>
      <c r="AD32" s="565"/>
      <c r="AE32" s="565"/>
      <c r="AF32" s="565"/>
      <c r="AG32" s="565"/>
      <c r="AH32" s="565"/>
      <c r="AI32" s="565"/>
      <c r="AJ32" s="565"/>
      <c r="AK32" s="565"/>
      <c r="AL32" s="565"/>
      <c r="AM32" s="565"/>
      <c r="AN32" s="565"/>
      <c r="AO32" s="565"/>
      <c r="AP32" s="565"/>
      <c r="AQ32" s="565"/>
      <c r="AR32" s="565"/>
      <c r="AS32" s="565"/>
      <c r="AT32" s="565"/>
      <c r="AU32" s="565"/>
      <c r="AV32" s="565"/>
    </row>
    <row r="33" spans="2:48" x14ac:dyDescent="0.25">
      <c r="B33" s="565"/>
      <c r="C33" s="565"/>
      <c r="D33" s="565"/>
      <c r="E33" s="565"/>
      <c r="F33" s="565"/>
      <c r="G33" s="565"/>
      <c r="H33" s="565"/>
      <c r="I33" s="565"/>
      <c r="J33" s="565"/>
      <c r="K33" s="565"/>
      <c r="L33" s="565"/>
      <c r="M33" s="565"/>
      <c r="N33" s="565"/>
      <c r="O33" s="565"/>
      <c r="P33" s="565"/>
      <c r="Q33" s="565"/>
      <c r="R33" s="565"/>
      <c r="S33" s="565"/>
      <c r="T33" s="565"/>
      <c r="U33" s="565"/>
      <c r="V33" s="565"/>
      <c r="W33" s="565"/>
      <c r="X33" s="565"/>
      <c r="Y33" s="565"/>
      <c r="Z33" s="12">
        <f t="shared" si="0"/>
        <v>88.566999999999993</v>
      </c>
      <c r="AA33" s="565"/>
      <c r="AB33" s="565"/>
      <c r="AC33" s="565"/>
      <c r="AD33" s="565"/>
      <c r="AE33" s="565"/>
      <c r="AF33" s="565"/>
      <c r="AG33" s="565"/>
      <c r="AH33" s="565"/>
      <c r="AI33" s="565"/>
      <c r="AJ33" s="565"/>
      <c r="AK33" s="565"/>
      <c r="AL33" s="565"/>
      <c r="AM33" s="565"/>
      <c r="AN33" s="565"/>
      <c r="AO33" s="565"/>
      <c r="AP33" s="565"/>
      <c r="AQ33" s="565"/>
      <c r="AR33" s="565"/>
      <c r="AS33" s="565"/>
      <c r="AT33" s="565"/>
      <c r="AU33" s="565"/>
      <c r="AV33" s="565"/>
    </row>
    <row r="34" spans="2:48" x14ac:dyDescent="0.25">
      <c r="B34" s="565"/>
      <c r="C34" s="565"/>
      <c r="D34" s="565"/>
      <c r="E34" s="565"/>
      <c r="F34" s="565"/>
      <c r="G34" s="565"/>
      <c r="H34" s="565"/>
      <c r="I34" s="565"/>
      <c r="J34" s="565"/>
      <c r="K34" s="565"/>
      <c r="L34" s="565"/>
      <c r="M34" s="565"/>
      <c r="N34" s="565"/>
      <c r="O34" s="565"/>
      <c r="P34" s="565"/>
      <c r="Q34" s="565"/>
      <c r="R34" s="565"/>
      <c r="S34" s="565"/>
      <c r="T34" s="565"/>
      <c r="U34" s="565"/>
      <c r="V34" s="565"/>
      <c r="W34" s="565"/>
      <c r="X34" s="565"/>
      <c r="Y34" s="565"/>
      <c r="Z34" s="12">
        <f t="shared" si="0"/>
        <v>88.552999999999997</v>
      </c>
      <c r="AA34" s="565"/>
      <c r="AB34" s="565"/>
      <c r="AC34" s="565"/>
      <c r="AD34" s="565"/>
      <c r="AE34" s="565"/>
      <c r="AF34" s="565"/>
      <c r="AG34" s="565"/>
      <c r="AH34" s="565"/>
      <c r="AI34" s="565"/>
      <c r="AJ34" s="565"/>
      <c r="AK34" s="565"/>
      <c r="AL34" s="565"/>
      <c r="AM34" s="565"/>
      <c r="AN34" s="565"/>
      <c r="AO34" s="565"/>
      <c r="AP34" s="565"/>
      <c r="AQ34" s="565"/>
      <c r="AR34" s="565"/>
      <c r="AS34" s="565"/>
      <c r="AT34" s="565"/>
      <c r="AU34" s="565"/>
      <c r="AV34" s="565"/>
    </row>
    <row r="35" spans="2:48" x14ac:dyDescent="0.25">
      <c r="B35" s="565"/>
      <c r="C35" s="565"/>
      <c r="D35" s="565"/>
      <c r="E35" s="565"/>
      <c r="F35" s="565"/>
      <c r="G35" s="565"/>
      <c r="H35" s="565"/>
      <c r="I35" s="565"/>
      <c r="J35" s="565"/>
      <c r="K35" s="565"/>
      <c r="L35" s="565"/>
      <c r="M35" s="565"/>
      <c r="N35" s="565"/>
      <c r="O35" s="565"/>
      <c r="P35" s="565"/>
      <c r="Q35" s="565"/>
      <c r="R35" s="565"/>
      <c r="S35" s="565"/>
      <c r="T35" s="565"/>
      <c r="U35" s="565"/>
      <c r="V35" s="565"/>
      <c r="W35" s="565"/>
      <c r="X35" s="565"/>
      <c r="Y35" s="565"/>
      <c r="Z35" s="12">
        <f t="shared" si="0"/>
        <v>88.596000000000004</v>
      </c>
      <c r="AA35" s="565"/>
      <c r="AB35" s="565"/>
      <c r="AC35" s="565"/>
      <c r="AD35" s="565"/>
      <c r="AE35" s="565"/>
      <c r="AF35" s="565"/>
      <c r="AG35" s="565"/>
      <c r="AH35" s="565"/>
      <c r="AI35" s="565"/>
      <c r="AJ35" s="565"/>
      <c r="AK35" s="565"/>
      <c r="AL35" s="565"/>
      <c r="AM35" s="565"/>
      <c r="AN35" s="565"/>
      <c r="AO35" s="565"/>
      <c r="AP35" s="565"/>
      <c r="AQ35" s="565"/>
      <c r="AR35" s="565"/>
      <c r="AS35" s="565"/>
      <c r="AT35" s="565"/>
      <c r="AU35" s="565"/>
      <c r="AV35" s="565"/>
    </row>
    <row r="36" spans="2:48" x14ac:dyDescent="0.25">
      <c r="B36" s="565"/>
      <c r="C36" s="565"/>
      <c r="D36" s="565"/>
      <c r="E36" s="565"/>
      <c r="F36" s="565"/>
      <c r="G36" s="565"/>
      <c r="H36" s="565"/>
      <c r="I36" s="565"/>
      <c r="J36" s="565"/>
      <c r="K36" s="565"/>
      <c r="L36" s="565"/>
      <c r="M36" s="565"/>
      <c r="N36" s="565"/>
      <c r="O36" s="565"/>
      <c r="P36" s="565"/>
      <c r="Q36" s="565"/>
      <c r="R36" s="565"/>
      <c r="S36" s="565"/>
      <c r="T36" s="565"/>
      <c r="U36" s="565"/>
      <c r="V36" s="565"/>
      <c r="W36" s="565"/>
      <c r="X36" s="565"/>
      <c r="Y36" s="565"/>
      <c r="Z36" s="12">
        <f t="shared" si="0"/>
        <v>88.543000000000006</v>
      </c>
      <c r="AA36" s="565"/>
      <c r="AB36" s="565"/>
      <c r="AC36" s="565"/>
      <c r="AD36" s="565"/>
      <c r="AE36" s="565"/>
      <c r="AF36" s="565"/>
      <c r="AG36" s="565"/>
      <c r="AH36" s="565"/>
      <c r="AI36" s="565"/>
      <c r="AJ36" s="565"/>
      <c r="AK36" s="565"/>
      <c r="AL36" s="565"/>
      <c r="AM36" s="565"/>
      <c r="AN36" s="565"/>
      <c r="AO36" s="565"/>
      <c r="AP36" s="565"/>
      <c r="AQ36" s="565"/>
      <c r="AR36" s="565"/>
      <c r="AS36" s="565"/>
      <c r="AT36" s="565"/>
      <c r="AU36" s="565"/>
      <c r="AV36" s="565"/>
    </row>
    <row r="37" spans="2:48" x14ac:dyDescent="0.25">
      <c r="B37" s="565"/>
      <c r="C37" s="565"/>
      <c r="D37" s="565"/>
      <c r="E37" s="565"/>
      <c r="F37" s="565"/>
      <c r="G37" s="565"/>
      <c r="H37" s="565"/>
      <c r="I37" s="565"/>
      <c r="J37" s="565"/>
      <c r="K37" s="565"/>
      <c r="L37" s="565"/>
      <c r="M37" s="565"/>
      <c r="N37" s="565"/>
      <c r="O37" s="565"/>
      <c r="P37" s="565"/>
      <c r="Q37" s="565"/>
      <c r="R37" s="565"/>
      <c r="S37" s="565"/>
      <c r="T37" s="565"/>
      <c r="U37" s="565"/>
      <c r="V37" s="565"/>
      <c r="W37" s="565"/>
      <c r="X37" s="565"/>
      <c r="Y37" s="565"/>
      <c r="Z37" s="12">
        <f t="shared" si="0"/>
        <v>88.552999999999997</v>
      </c>
      <c r="AA37" s="565"/>
      <c r="AB37" s="565"/>
      <c r="AC37" s="565"/>
      <c r="AD37" s="565"/>
      <c r="AE37" s="565"/>
      <c r="AF37" s="565"/>
      <c r="AG37" s="565"/>
      <c r="AH37" s="565"/>
      <c r="AI37" s="565"/>
      <c r="AJ37" s="565"/>
      <c r="AK37" s="565"/>
      <c r="AL37" s="565"/>
      <c r="AM37" s="565"/>
      <c r="AN37" s="565"/>
      <c r="AO37" s="565"/>
      <c r="AP37" s="565"/>
      <c r="AQ37" s="565"/>
      <c r="AR37" s="565"/>
      <c r="AS37" s="565"/>
      <c r="AT37" s="565"/>
      <c r="AU37" s="565"/>
      <c r="AV37" s="565"/>
    </row>
    <row r="38" spans="2:48" x14ac:dyDescent="0.25">
      <c r="B38" s="565"/>
      <c r="C38" s="565"/>
      <c r="D38" s="565"/>
      <c r="E38" s="565"/>
      <c r="F38" s="565"/>
      <c r="G38" s="565"/>
      <c r="H38" s="565"/>
      <c r="I38" s="565"/>
      <c r="J38" s="565"/>
      <c r="K38" s="565"/>
      <c r="L38" s="565"/>
      <c r="M38" s="565"/>
      <c r="N38" s="565"/>
      <c r="O38" s="565"/>
      <c r="P38" s="565"/>
      <c r="Q38" s="565"/>
      <c r="R38" s="565"/>
      <c r="S38" s="565"/>
      <c r="T38" s="565"/>
      <c r="U38" s="565"/>
      <c r="V38" s="565"/>
      <c r="W38" s="565"/>
      <c r="X38" s="565"/>
      <c r="Y38" s="565"/>
      <c r="Z38" s="12">
        <f t="shared" si="0"/>
        <v>88.587000000000003</v>
      </c>
      <c r="AA38" s="565"/>
      <c r="AB38" s="565"/>
      <c r="AC38" s="565"/>
      <c r="AD38" s="565"/>
      <c r="AE38" s="565"/>
      <c r="AF38" s="565"/>
      <c r="AG38" s="565"/>
      <c r="AH38" s="565"/>
      <c r="AI38" s="565"/>
      <c r="AJ38" s="565"/>
      <c r="AK38" s="565"/>
      <c r="AL38" s="565"/>
      <c r="AM38" s="565"/>
      <c r="AN38" s="565"/>
      <c r="AO38" s="565"/>
      <c r="AP38" s="565"/>
      <c r="AQ38" s="565"/>
      <c r="AR38" s="565"/>
      <c r="AS38" s="565"/>
      <c r="AT38" s="565"/>
      <c r="AU38" s="565"/>
      <c r="AV38" s="565"/>
    </row>
    <row r="39" spans="2:48" x14ac:dyDescent="0.25">
      <c r="B39" s="565"/>
      <c r="C39" s="565"/>
      <c r="D39" s="565"/>
      <c r="E39" s="565"/>
      <c r="F39" s="565"/>
      <c r="G39" s="565"/>
      <c r="H39" s="565"/>
      <c r="I39" s="565"/>
      <c r="J39" s="565"/>
      <c r="K39" s="565"/>
      <c r="L39" s="565"/>
      <c r="M39" s="565"/>
      <c r="N39" s="565"/>
      <c r="O39" s="565"/>
      <c r="P39" s="565"/>
      <c r="Q39" s="565"/>
      <c r="R39" s="565"/>
      <c r="S39" s="565"/>
      <c r="T39" s="565"/>
      <c r="U39" s="565"/>
      <c r="V39" s="565"/>
      <c r="W39" s="565"/>
      <c r="X39" s="565"/>
      <c r="Y39" s="565"/>
      <c r="Z39" s="12">
        <f t="shared" si="0"/>
        <v>88.533000000000001</v>
      </c>
      <c r="AA39" s="565"/>
      <c r="AB39" s="565"/>
      <c r="AC39" s="565"/>
      <c r="AD39" s="565"/>
      <c r="AE39" s="565"/>
      <c r="AF39" s="565"/>
      <c r="AG39" s="565"/>
      <c r="AH39" s="565"/>
      <c r="AI39" s="565"/>
      <c r="AJ39" s="565"/>
      <c r="AK39" s="565"/>
      <c r="AL39" s="565"/>
      <c r="AM39" s="565"/>
      <c r="AN39" s="565"/>
      <c r="AO39" s="565"/>
      <c r="AP39" s="565"/>
      <c r="AQ39" s="565"/>
      <c r="AR39" s="565"/>
      <c r="AS39" s="565"/>
      <c r="AT39" s="565"/>
      <c r="AU39" s="565"/>
      <c r="AV39" s="565"/>
    </row>
    <row r="40" spans="2:48" x14ac:dyDescent="0.25">
      <c r="B40" s="565"/>
      <c r="C40" s="565"/>
      <c r="D40" s="565"/>
      <c r="E40" s="565"/>
      <c r="F40" s="565"/>
      <c r="G40" s="565"/>
      <c r="H40" s="565"/>
      <c r="I40" s="565"/>
      <c r="J40" s="565"/>
      <c r="K40" s="565"/>
      <c r="L40" s="565"/>
      <c r="M40" s="565"/>
      <c r="N40" s="565"/>
      <c r="O40" s="565"/>
      <c r="P40" s="565"/>
      <c r="Q40" s="565"/>
      <c r="R40" s="565"/>
      <c r="S40" s="565"/>
      <c r="T40" s="565"/>
      <c r="U40" s="565"/>
      <c r="V40" s="565"/>
      <c r="W40" s="565"/>
      <c r="X40" s="565"/>
      <c r="Y40" s="565"/>
      <c r="Z40" s="12">
        <f t="shared" si="0"/>
        <v>88.486999999999995</v>
      </c>
      <c r="AA40" s="565"/>
      <c r="AB40" s="565"/>
      <c r="AC40" s="565"/>
      <c r="AD40" s="565"/>
      <c r="AE40" s="565"/>
      <c r="AF40" s="565"/>
      <c r="AG40" s="565"/>
      <c r="AH40" s="565"/>
      <c r="AI40" s="565"/>
      <c r="AJ40" s="565"/>
      <c r="AK40" s="565"/>
      <c r="AL40" s="565"/>
      <c r="AM40" s="565"/>
      <c r="AN40" s="565"/>
      <c r="AO40" s="565"/>
      <c r="AP40" s="565"/>
      <c r="AQ40" s="565"/>
      <c r="AR40" s="565"/>
      <c r="AS40" s="565"/>
      <c r="AT40" s="565"/>
      <c r="AU40" s="565"/>
      <c r="AV40" s="565"/>
    </row>
    <row r="41" spans="2:48" x14ac:dyDescent="0.25">
      <c r="B41" s="565"/>
      <c r="C41" s="565"/>
      <c r="D41" s="565"/>
      <c r="E41" s="565"/>
      <c r="F41" s="565"/>
      <c r="G41" s="565"/>
      <c r="H41" s="565"/>
      <c r="I41" s="565"/>
      <c r="J41" s="565"/>
      <c r="K41" s="565"/>
      <c r="L41" s="565"/>
      <c r="M41" s="565"/>
      <c r="N41" s="565"/>
      <c r="O41" s="565"/>
      <c r="P41" s="565"/>
      <c r="Q41" s="565"/>
      <c r="R41" s="565"/>
      <c r="S41" s="565"/>
      <c r="T41" s="565"/>
      <c r="U41" s="565"/>
      <c r="V41" s="565"/>
      <c r="W41" s="565"/>
      <c r="X41" s="565"/>
      <c r="Y41" s="565"/>
      <c r="Z41" s="12">
        <f t="shared" si="0"/>
        <v>88.388000000000005</v>
      </c>
      <c r="AA41" s="565"/>
      <c r="AB41" s="565"/>
      <c r="AC41" s="565"/>
      <c r="AD41" s="565"/>
      <c r="AE41" s="565"/>
      <c r="AF41" s="565"/>
      <c r="AG41" s="565"/>
      <c r="AH41" s="565"/>
      <c r="AI41" s="565"/>
      <c r="AJ41" s="565"/>
      <c r="AK41" s="565"/>
      <c r="AL41" s="565"/>
      <c r="AM41" s="565"/>
      <c r="AN41" s="565"/>
      <c r="AO41" s="565"/>
      <c r="AP41" s="565"/>
      <c r="AQ41" s="565"/>
      <c r="AR41" s="565"/>
      <c r="AS41" s="565"/>
      <c r="AT41" s="565"/>
      <c r="AU41" s="565"/>
      <c r="AV41" s="565"/>
    </row>
    <row r="42" spans="2:48" x14ac:dyDescent="0.25">
      <c r="B42" s="565"/>
      <c r="C42" s="565"/>
      <c r="D42" s="565"/>
      <c r="E42" s="565"/>
      <c r="F42" s="565"/>
      <c r="G42" s="565"/>
      <c r="H42" s="565"/>
      <c r="I42" s="565"/>
      <c r="J42" s="565"/>
      <c r="K42" s="565"/>
      <c r="L42" s="565"/>
      <c r="M42" s="565"/>
      <c r="N42" s="565"/>
      <c r="O42" s="565"/>
      <c r="P42" s="565"/>
      <c r="Q42" s="565"/>
      <c r="R42" s="565"/>
      <c r="S42" s="565"/>
      <c r="T42" s="565"/>
      <c r="U42" s="565"/>
      <c r="V42" s="565"/>
      <c r="W42" s="565"/>
      <c r="X42" s="565"/>
      <c r="Y42" s="565"/>
      <c r="Z42" s="12">
        <f t="shared" si="0"/>
        <v>88.427000000000007</v>
      </c>
      <c r="AA42" s="565"/>
      <c r="AB42" s="565"/>
      <c r="AC42" s="565"/>
      <c r="AD42" s="565"/>
      <c r="AE42" s="565"/>
      <c r="AF42" s="565"/>
      <c r="AG42" s="565"/>
      <c r="AH42" s="565"/>
      <c r="AI42" s="565"/>
      <c r="AJ42" s="565"/>
      <c r="AK42" s="565"/>
      <c r="AL42" s="565"/>
      <c r="AM42" s="565"/>
      <c r="AN42" s="565"/>
      <c r="AO42" s="565"/>
      <c r="AP42" s="565"/>
      <c r="AQ42" s="565"/>
      <c r="AR42" s="565"/>
      <c r="AS42" s="565"/>
      <c r="AT42" s="565"/>
      <c r="AU42" s="565"/>
      <c r="AV42" s="565"/>
    </row>
    <row r="43" spans="2:48" x14ac:dyDescent="0.25">
      <c r="B43" s="565"/>
      <c r="C43" s="565"/>
      <c r="D43" s="565"/>
      <c r="E43" s="565"/>
      <c r="F43" s="565"/>
      <c r="G43" s="565"/>
      <c r="H43" s="565"/>
      <c r="I43" s="565"/>
      <c r="J43" s="565"/>
      <c r="K43" s="565"/>
      <c r="L43" s="565"/>
      <c r="M43" s="565"/>
      <c r="N43" s="565"/>
      <c r="O43" s="565"/>
      <c r="P43" s="565"/>
      <c r="Q43" s="565"/>
      <c r="R43" s="565"/>
      <c r="S43" s="565"/>
      <c r="T43" s="565"/>
      <c r="U43" s="565"/>
      <c r="V43" s="565"/>
      <c r="W43" s="565"/>
      <c r="X43" s="565"/>
      <c r="Y43" s="565"/>
      <c r="Z43" s="12">
        <f t="shared" si="0"/>
        <v>88.462999999999994</v>
      </c>
      <c r="AA43" s="565"/>
      <c r="AB43" s="565"/>
      <c r="AC43" s="565"/>
      <c r="AD43" s="565"/>
      <c r="AE43" s="565"/>
      <c r="AF43" s="565"/>
      <c r="AG43" s="565"/>
      <c r="AH43" s="565"/>
      <c r="AI43" s="565"/>
      <c r="AJ43" s="565"/>
      <c r="AK43" s="565"/>
      <c r="AL43" s="565"/>
      <c r="AM43" s="565"/>
      <c r="AN43" s="565"/>
      <c r="AO43" s="565"/>
      <c r="AP43" s="565"/>
      <c r="AQ43" s="565"/>
      <c r="AR43" s="565"/>
      <c r="AS43" s="565"/>
      <c r="AT43" s="565"/>
      <c r="AU43" s="565"/>
      <c r="AV43" s="565"/>
    </row>
    <row r="44" spans="2:48" x14ac:dyDescent="0.25">
      <c r="B44" s="565"/>
      <c r="C44" s="565"/>
      <c r="D44" s="565"/>
      <c r="E44" s="565"/>
      <c r="F44" s="565"/>
      <c r="G44" s="565"/>
      <c r="H44" s="565"/>
      <c r="I44" s="565"/>
      <c r="J44" s="565"/>
      <c r="K44" s="565"/>
      <c r="L44" s="565"/>
      <c r="M44" s="565"/>
      <c r="N44" s="565"/>
      <c r="O44" s="565"/>
      <c r="P44" s="565"/>
      <c r="Q44" s="565"/>
      <c r="R44" s="565"/>
      <c r="S44" s="565"/>
      <c r="T44" s="565"/>
      <c r="U44" s="565"/>
      <c r="V44" s="565"/>
      <c r="W44" s="565"/>
      <c r="X44" s="565"/>
      <c r="Y44" s="565"/>
      <c r="Z44" s="12">
        <f t="shared" si="0"/>
        <v>88.478999999999999</v>
      </c>
      <c r="AA44" s="565"/>
      <c r="AB44" s="565"/>
      <c r="AC44" s="565"/>
      <c r="AD44" s="565"/>
      <c r="AE44" s="565"/>
      <c r="AF44" s="565"/>
      <c r="AG44" s="565"/>
      <c r="AH44" s="565"/>
      <c r="AI44" s="565"/>
      <c r="AJ44" s="565"/>
      <c r="AK44" s="565"/>
      <c r="AL44" s="565"/>
      <c r="AM44" s="565"/>
      <c r="AN44" s="565"/>
      <c r="AO44" s="565"/>
      <c r="AP44" s="565"/>
      <c r="AQ44" s="565"/>
      <c r="AR44" s="565"/>
      <c r="AS44" s="565"/>
      <c r="AT44" s="565"/>
      <c r="AU44" s="565"/>
      <c r="AV44" s="565"/>
    </row>
    <row r="45" spans="2:48" x14ac:dyDescent="0.25">
      <c r="B45" s="565"/>
      <c r="C45" s="565"/>
      <c r="D45" s="565"/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5"/>
      <c r="P45" s="565"/>
      <c r="Q45" s="565"/>
      <c r="R45" s="565"/>
      <c r="S45" s="565"/>
      <c r="T45" s="565"/>
      <c r="U45" s="565"/>
      <c r="V45" s="565"/>
      <c r="W45" s="565"/>
      <c r="X45" s="565"/>
      <c r="Y45" s="565"/>
      <c r="Z45" s="12">
        <f t="shared" si="0"/>
        <v>88.51</v>
      </c>
      <c r="AA45" s="565"/>
      <c r="AB45" s="565"/>
      <c r="AC45" s="565"/>
      <c r="AD45" s="565"/>
      <c r="AE45" s="565"/>
      <c r="AF45" s="565"/>
      <c r="AG45" s="565"/>
      <c r="AH45" s="565"/>
      <c r="AI45" s="565"/>
      <c r="AJ45" s="565"/>
      <c r="AK45" s="565"/>
      <c r="AL45" s="565"/>
      <c r="AM45" s="565"/>
      <c r="AN45" s="565"/>
      <c r="AO45" s="565"/>
      <c r="AP45" s="565"/>
      <c r="AQ45" s="565"/>
      <c r="AR45" s="565"/>
      <c r="AS45" s="565"/>
      <c r="AT45" s="565"/>
      <c r="AU45" s="565"/>
      <c r="AV45" s="565"/>
    </row>
    <row r="46" spans="2:48" x14ac:dyDescent="0.25">
      <c r="B46" s="565"/>
      <c r="C46" s="565"/>
      <c r="D46" s="565"/>
      <c r="E46" s="565"/>
      <c r="F46" s="565"/>
      <c r="G46" s="565"/>
      <c r="H46" s="565"/>
      <c r="I46" s="565"/>
      <c r="J46" s="565"/>
      <c r="K46" s="565"/>
      <c r="L46" s="565"/>
      <c r="M46" s="565"/>
      <c r="N46" s="565"/>
      <c r="O46" s="565"/>
      <c r="P46" s="565"/>
      <c r="Q46" s="565"/>
      <c r="R46" s="565"/>
      <c r="S46" s="565"/>
      <c r="T46" s="565"/>
      <c r="U46" s="565"/>
      <c r="V46" s="565"/>
      <c r="W46" s="565"/>
      <c r="X46" s="565"/>
      <c r="Y46" s="565"/>
      <c r="Z46" s="12">
        <f t="shared" si="0"/>
        <v>88.433000000000007</v>
      </c>
      <c r="AA46" s="565"/>
      <c r="AB46" s="565"/>
      <c r="AC46" s="565"/>
      <c r="AD46" s="565"/>
      <c r="AE46" s="565"/>
      <c r="AF46" s="565"/>
      <c r="AG46" s="565"/>
      <c r="AH46" s="565"/>
      <c r="AI46" s="565"/>
      <c r="AJ46" s="565"/>
      <c r="AK46" s="565"/>
      <c r="AL46" s="565"/>
      <c r="AM46" s="565"/>
      <c r="AN46" s="565"/>
      <c r="AO46" s="565"/>
      <c r="AP46" s="565"/>
      <c r="AQ46" s="565"/>
      <c r="AR46" s="565"/>
      <c r="AS46" s="565"/>
      <c r="AT46" s="565"/>
      <c r="AU46" s="565"/>
      <c r="AV46" s="565"/>
    </row>
    <row r="47" spans="2:48" x14ac:dyDescent="0.25">
      <c r="B47" s="565"/>
      <c r="C47" s="565"/>
      <c r="D47" s="565"/>
      <c r="E47" s="565"/>
      <c r="F47" s="565"/>
      <c r="G47" s="565"/>
      <c r="H47" s="565"/>
      <c r="I47" s="565"/>
      <c r="J47" s="565"/>
      <c r="K47" s="565"/>
      <c r="L47" s="565"/>
      <c r="M47" s="565"/>
      <c r="N47" s="565"/>
      <c r="O47" s="565"/>
      <c r="P47" s="565"/>
      <c r="Q47" s="565"/>
      <c r="R47" s="565"/>
      <c r="S47" s="565"/>
      <c r="T47" s="565"/>
      <c r="U47" s="565"/>
      <c r="V47" s="565"/>
      <c r="W47" s="565"/>
      <c r="X47" s="565"/>
      <c r="Y47" s="565"/>
      <c r="Z47" s="12">
        <f t="shared" si="0"/>
        <v>88.406000000000006</v>
      </c>
      <c r="AA47" s="565"/>
      <c r="AB47" s="565"/>
      <c r="AC47" s="565"/>
      <c r="AD47" s="565"/>
      <c r="AE47" s="565"/>
      <c r="AF47" s="565"/>
      <c r="AG47" s="565"/>
      <c r="AH47" s="565"/>
      <c r="AI47" s="565"/>
      <c r="AJ47" s="565"/>
      <c r="AK47" s="565"/>
      <c r="AL47" s="565"/>
      <c r="AM47" s="565"/>
      <c r="AN47" s="565"/>
      <c r="AO47" s="565"/>
      <c r="AP47" s="565"/>
      <c r="AQ47" s="565"/>
      <c r="AR47" s="565"/>
      <c r="AS47" s="565"/>
      <c r="AT47" s="565"/>
      <c r="AU47" s="565"/>
      <c r="AV47" s="565"/>
    </row>
    <row r="48" spans="2:48" x14ac:dyDescent="0.25">
      <c r="B48" s="565"/>
      <c r="C48" s="565"/>
      <c r="D48" s="565"/>
      <c r="E48" s="565"/>
      <c r="F48" s="565"/>
      <c r="G48" s="565"/>
      <c r="H48" s="565"/>
      <c r="I48" s="565"/>
      <c r="J48" s="565"/>
      <c r="K48" s="565"/>
      <c r="L48" s="565"/>
      <c r="M48" s="565"/>
      <c r="N48" s="565"/>
      <c r="O48" s="565"/>
      <c r="P48" s="565"/>
      <c r="Q48" s="565"/>
      <c r="R48" s="565"/>
      <c r="S48" s="565"/>
      <c r="T48" s="565"/>
      <c r="U48" s="565"/>
      <c r="V48" s="565"/>
      <c r="W48" s="565"/>
      <c r="X48" s="565"/>
      <c r="Y48" s="565"/>
      <c r="Z48" s="12">
        <f t="shared" si="0"/>
        <v>88.361000000000004</v>
      </c>
      <c r="AA48" s="565"/>
      <c r="AB48" s="565"/>
      <c r="AC48" s="565"/>
      <c r="AD48" s="565"/>
      <c r="AE48" s="565"/>
      <c r="AF48" s="565"/>
      <c r="AG48" s="565"/>
      <c r="AH48" s="565"/>
      <c r="AI48" s="565"/>
      <c r="AJ48" s="565"/>
      <c r="AK48" s="565"/>
      <c r="AL48" s="565"/>
      <c r="AM48" s="565"/>
      <c r="AN48" s="565"/>
      <c r="AO48" s="565"/>
      <c r="AP48" s="565"/>
      <c r="AQ48" s="565"/>
      <c r="AR48" s="565"/>
      <c r="AS48" s="565"/>
      <c r="AT48" s="565"/>
      <c r="AU48" s="565"/>
      <c r="AV48" s="565"/>
    </row>
    <row r="49" spans="2:48" x14ac:dyDescent="0.25">
      <c r="B49" s="565"/>
      <c r="C49" s="565"/>
      <c r="D49" s="565"/>
      <c r="E49" s="565"/>
      <c r="F49" s="565"/>
      <c r="G49" s="565"/>
      <c r="H49" s="565"/>
      <c r="I49" s="565"/>
      <c r="J49" s="565"/>
      <c r="K49" s="565"/>
      <c r="L49" s="565"/>
      <c r="M49" s="565"/>
      <c r="N49" s="565"/>
      <c r="O49" s="565"/>
      <c r="P49" s="565"/>
      <c r="Q49" s="565"/>
      <c r="R49" s="565"/>
      <c r="S49" s="565"/>
      <c r="T49" s="565"/>
      <c r="U49" s="565"/>
      <c r="V49" s="565"/>
      <c r="W49" s="565"/>
      <c r="X49" s="565"/>
      <c r="Y49" s="565"/>
      <c r="Z49" s="12">
        <f t="shared" si="0"/>
        <v>88.322999999999993</v>
      </c>
      <c r="AA49" s="565"/>
      <c r="AB49" s="565"/>
      <c r="AC49" s="565"/>
      <c r="AD49" s="565"/>
      <c r="AE49" s="565"/>
      <c r="AF49" s="565"/>
      <c r="AG49" s="565"/>
      <c r="AH49" s="565"/>
      <c r="AI49" s="565"/>
      <c r="AJ49" s="565"/>
      <c r="AK49" s="565"/>
      <c r="AL49" s="565"/>
      <c r="AM49" s="565"/>
      <c r="AN49" s="565"/>
      <c r="AO49" s="565"/>
      <c r="AP49" s="565"/>
      <c r="AQ49" s="565"/>
      <c r="AR49" s="565"/>
      <c r="AS49" s="565"/>
      <c r="AT49" s="565"/>
      <c r="AU49" s="565"/>
      <c r="AV49" s="565"/>
    </row>
    <row r="50" spans="2:48" x14ac:dyDescent="0.25">
      <c r="B50" s="565"/>
      <c r="C50" s="565"/>
      <c r="D50" s="565"/>
      <c r="E50" s="565"/>
      <c r="F50" s="565"/>
      <c r="G50" s="565"/>
      <c r="H50" s="565"/>
      <c r="I50" s="565"/>
      <c r="J50" s="565"/>
      <c r="K50" s="565"/>
      <c r="L50" s="565"/>
      <c r="M50" s="565"/>
      <c r="N50" s="565"/>
      <c r="O50" s="565"/>
      <c r="P50" s="565"/>
      <c r="Q50" s="565"/>
      <c r="R50" s="565"/>
      <c r="S50" s="565"/>
      <c r="T50" s="565"/>
      <c r="U50" s="565"/>
      <c r="V50" s="565"/>
      <c r="W50" s="565"/>
      <c r="X50" s="565"/>
      <c r="Y50" s="565"/>
      <c r="Z50" s="12">
        <f t="shared" si="0"/>
        <v>88.245000000000005</v>
      </c>
      <c r="AA50" s="565"/>
      <c r="AB50" s="565"/>
      <c r="AC50" s="565"/>
      <c r="AD50" s="565"/>
      <c r="AE50" s="565"/>
      <c r="AF50" s="565"/>
      <c r="AG50" s="565"/>
      <c r="AH50" s="565"/>
      <c r="AI50" s="565"/>
      <c r="AJ50" s="565"/>
      <c r="AK50" s="565"/>
      <c r="AL50" s="565"/>
      <c r="AM50" s="565"/>
      <c r="AN50" s="565"/>
      <c r="AO50" s="565"/>
      <c r="AP50" s="565"/>
      <c r="AQ50" s="565"/>
      <c r="AR50" s="565"/>
      <c r="AS50" s="565"/>
      <c r="AT50" s="565"/>
      <c r="AU50" s="565"/>
      <c r="AV50" s="565"/>
    </row>
    <row r="51" spans="2:48" x14ac:dyDescent="0.25">
      <c r="B51" s="565"/>
      <c r="C51" s="565"/>
      <c r="D51" s="565"/>
      <c r="E51" s="565"/>
      <c r="F51" s="565"/>
      <c r="G51" s="565"/>
      <c r="H51" s="565"/>
      <c r="I51" s="565"/>
      <c r="J51" s="565"/>
      <c r="K51" s="565"/>
      <c r="L51" s="565"/>
      <c r="M51" s="565"/>
      <c r="N51" s="565"/>
      <c r="O51" s="565"/>
      <c r="P51" s="565"/>
      <c r="Q51" s="565"/>
      <c r="R51" s="565"/>
      <c r="S51" s="565"/>
      <c r="T51" s="565"/>
      <c r="U51" s="565"/>
      <c r="V51" s="565"/>
      <c r="W51" s="565"/>
      <c r="X51" s="565"/>
      <c r="Y51" s="565"/>
      <c r="Z51" s="12">
        <f t="shared" si="0"/>
        <v>88.311999999999998</v>
      </c>
      <c r="AA51" s="565"/>
      <c r="AB51" s="565"/>
      <c r="AC51" s="565"/>
      <c r="AD51" s="565"/>
      <c r="AE51" s="565"/>
      <c r="AF51" s="565"/>
      <c r="AG51" s="565"/>
      <c r="AH51" s="565"/>
      <c r="AI51" s="565"/>
      <c r="AJ51" s="565"/>
      <c r="AK51" s="565"/>
      <c r="AL51" s="565"/>
      <c r="AM51" s="565"/>
      <c r="AN51" s="565"/>
      <c r="AO51" s="565"/>
      <c r="AP51" s="565"/>
      <c r="AQ51" s="565"/>
      <c r="AR51" s="565"/>
      <c r="AS51" s="565"/>
      <c r="AT51" s="565"/>
      <c r="AU51" s="565"/>
      <c r="AV51" s="565"/>
    </row>
    <row r="52" spans="2:48" x14ac:dyDescent="0.25">
      <c r="B52" s="565"/>
      <c r="C52" s="565"/>
      <c r="D52" s="565"/>
      <c r="E52" s="565"/>
      <c r="F52" s="565"/>
      <c r="G52" s="565"/>
      <c r="H52" s="565"/>
      <c r="I52" s="565"/>
      <c r="J52" s="565"/>
      <c r="K52" s="565"/>
      <c r="L52" s="565"/>
      <c r="M52" s="565"/>
      <c r="N52" s="565"/>
      <c r="O52" s="565"/>
      <c r="P52" s="565"/>
      <c r="Q52" s="565"/>
      <c r="R52" s="565"/>
      <c r="S52" s="565"/>
      <c r="T52" s="565"/>
      <c r="U52" s="565"/>
      <c r="V52" s="565"/>
      <c r="W52" s="565"/>
      <c r="X52" s="565"/>
      <c r="Y52" s="565"/>
      <c r="Z52" s="12">
        <f t="shared" si="0"/>
        <v>88.3</v>
      </c>
      <c r="AA52" s="565"/>
      <c r="AB52" s="565"/>
      <c r="AC52" s="565"/>
      <c r="AD52" s="565"/>
      <c r="AE52" s="565"/>
      <c r="AF52" s="565"/>
      <c r="AG52" s="565"/>
      <c r="AH52" s="565"/>
      <c r="AI52" s="565"/>
      <c r="AJ52" s="565"/>
      <c r="AK52" s="565"/>
      <c r="AL52" s="565"/>
      <c r="AM52" s="565"/>
      <c r="AN52" s="565"/>
      <c r="AO52" s="565"/>
      <c r="AP52" s="565"/>
      <c r="AQ52" s="565"/>
      <c r="AR52" s="565"/>
      <c r="AS52" s="565"/>
      <c r="AT52" s="565"/>
      <c r="AU52" s="565"/>
      <c r="AV52" s="565"/>
    </row>
    <row r="53" spans="2:48" x14ac:dyDescent="0.25">
      <c r="B53" s="565"/>
      <c r="C53" s="565"/>
      <c r="D53" s="565"/>
      <c r="E53" s="565"/>
      <c r="F53" s="565"/>
      <c r="G53" s="565"/>
      <c r="H53" s="565"/>
      <c r="I53" s="565"/>
      <c r="J53" s="565"/>
      <c r="K53" s="565"/>
      <c r="L53" s="565"/>
      <c r="M53" s="565"/>
      <c r="N53" s="565"/>
      <c r="O53" s="565"/>
      <c r="P53" s="565"/>
      <c r="Q53" s="565"/>
      <c r="R53" s="565"/>
      <c r="S53" s="565"/>
      <c r="T53" s="565"/>
      <c r="U53" s="565"/>
      <c r="V53" s="565"/>
      <c r="W53" s="565"/>
      <c r="X53" s="565"/>
      <c r="Y53" s="565"/>
      <c r="Z53" s="12">
        <f t="shared" si="0"/>
        <v>88.344999999999999</v>
      </c>
      <c r="AA53" s="565"/>
      <c r="AB53" s="565"/>
      <c r="AC53" s="565"/>
      <c r="AD53" s="565"/>
      <c r="AE53" s="565"/>
      <c r="AF53" s="565"/>
      <c r="AG53" s="565"/>
      <c r="AH53" s="565"/>
      <c r="AI53" s="565"/>
      <c r="AJ53" s="565"/>
      <c r="AK53" s="565"/>
      <c r="AL53" s="565"/>
      <c r="AM53" s="565"/>
      <c r="AN53" s="565"/>
      <c r="AO53" s="565"/>
      <c r="AP53" s="565"/>
      <c r="AQ53" s="565"/>
      <c r="AR53" s="565"/>
      <c r="AS53" s="565"/>
      <c r="AT53" s="565"/>
      <c r="AU53" s="565"/>
      <c r="AV53" s="565"/>
    </row>
    <row r="54" spans="2:48" x14ac:dyDescent="0.25">
      <c r="B54" s="565"/>
      <c r="C54" s="565"/>
      <c r="D54" s="565"/>
      <c r="E54" s="565"/>
      <c r="F54" s="565"/>
      <c r="G54" s="565"/>
      <c r="H54" s="565"/>
      <c r="I54" s="565"/>
      <c r="J54" s="565"/>
      <c r="K54" s="565"/>
      <c r="L54" s="565"/>
      <c r="M54" s="565"/>
      <c r="N54" s="565"/>
      <c r="O54" s="565"/>
      <c r="P54" s="565"/>
      <c r="Q54" s="565"/>
      <c r="R54" s="565"/>
      <c r="S54" s="565"/>
      <c r="T54" s="565"/>
      <c r="U54" s="565"/>
      <c r="V54" s="565"/>
      <c r="W54" s="565"/>
      <c r="X54" s="565"/>
      <c r="Y54" s="565"/>
      <c r="Z54" s="12">
        <f t="shared" si="0"/>
        <v>0</v>
      </c>
      <c r="AA54" s="565"/>
      <c r="AB54" s="565"/>
      <c r="AC54" s="565"/>
      <c r="AD54" s="565"/>
      <c r="AE54" s="565"/>
      <c r="AF54" s="565"/>
      <c r="AG54" s="565"/>
      <c r="AH54" s="565"/>
      <c r="AI54" s="565"/>
      <c r="AJ54" s="565"/>
      <c r="AK54" s="565"/>
      <c r="AL54" s="565"/>
      <c r="AM54" s="565"/>
      <c r="AN54" s="565"/>
      <c r="AO54" s="565"/>
      <c r="AP54" s="565"/>
      <c r="AQ54" s="565"/>
      <c r="AR54" s="565"/>
      <c r="AS54" s="565"/>
      <c r="AT54" s="565"/>
      <c r="AU54" s="565"/>
      <c r="AV54" s="565"/>
    </row>
  </sheetData>
  <phoneticPr fontId="19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IP21ConfigWorkBook xmlns:xsi="http://www.w3.org/2001/XMLSchema-instance" xmlns:xsd="http://www.w3.org/2001/XMLSchema" xmlns="http://www.aspentech.com/ProcessData/ExcelAddIn/IP21ConfigWorkBook">
  <WorkBookName>MPFM_Calibração_PW-104.xlsm</WorkBookName>
  <MappingTemplateName/>
  <ColumnMaps/>
  <IP21DatabaseSchema>
    <SchemaName>GFA</SchemaName>
    <DefinitionRecords/>
  </IP21DatabaseSchema>
</IP21ConfigWorkBook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632f762b19c46329b06e4a329cb5038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EXPLORATION ＆ PRODUCTION INTERNATIONAL (EPI)</TermName>
          <TermId xmlns="http://schemas.microsoft.com/office/infopath/2007/PartnerControls">76777ab9-3b5c-45dc-b1bf-cae5e8c2a234</TermId>
        </TermInfo>
      </Terms>
    </d632f762b19c46329b06e4a329cb5038>
    <o6fe11a35735487dac377a215490fa4b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0347c9175b146a684f1230523809245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Fiscal metering systems ＆ field allocation</TermName>
          <TermId xmlns="http://schemas.microsoft.com/office/infopath/2007/PartnerControls">9d88b364-b47a-4a1e-8100-07f26438537d</TermId>
        </TermInfo>
      </Terms>
    </m0347c9175b146a684f1230523809245>
    <mbf6ec96a4d94feeaf76fee4d5d0c80e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Brazil</TermName>
          <TermId xmlns="http://schemas.microsoft.com/office/infopath/2007/PartnerControls">d641e264-f157-42ed-8f97-e17c8f6cf33a</TermId>
        </TermInfo>
      </Terms>
    </mbf6ec96a4d94feeaf76fee4d5d0c80e>
    <TaxCatchAll xmlns="ea1a9bfc-76a9-4942-bb84-a249f7d50da2">
      <Value>11</Value>
      <Value>10</Value>
      <Value>9</Value>
      <Value>8</Value>
      <Value>7</Value>
      <Value>6</Value>
      <Value>5</Value>
      <Value>4</Value>
      <Value>3</Value>
      <Value>2</Value>
    </TaxCatchAll>
    <g971e9ce8060489b80a056801d36d93d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integrity management</TermName>
          <TermId xmlns="http://schemas.microsoft.com/office/infopath/2007/PartnerControls">ce6b1ab7-1aca-4450-a1c0-cb6e89a524cc</TermId>
        </TermInfo>
      </Terms>
    </g971e9ce8060489b80a056801d36d93d>
    <c71f94430ee24530b6af52dc58e8598c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 and Maintenance documentation</TermName>
          <TermId xmlns="http://schemas.microsoft.com/office/infopath/2007/PartnerControls">4767e6fc-97fe-4895-ba5a-80e461cbd45d</TermId>
        </TermInfo>
      </Terms>
    </c71f94430ee24530b6af52dc58e8598c>
    <gd56e2644879487f8da67586944cf0f5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m9e92212f5fa42fa9b52bc2f3224e0af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Brasil Energia Ltda.</TermName>
          <TermId xmlns="http://schemas.microsoft.com/office/infopath/2007/PartnerControls">5b4a339c-2b69-419f-be0c-27e975216a58</TermId>
        </TermInfo>
      </Terms>
    </m9e92212f5fa42fa9b52bc2f3224e0af>
    <b519d5ff8fc64ffea9cb9a4c0b377271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Internal</TermName>
          <TermId xmlns="http://schemas.microsoft.com/office/infopath/2007/PartnerControls">3361fef0-33ac-457d-8a1d-df19735ffcb1</TermId>
        </TermInfo>
      </Terms>
    </b519d5ff8fc64ffea9cb9a4c0b377271>
    <lcf76f155ced4ddcb4097134ff3c332f xmlns="00bf9c0c-280a-47c4-848b-352c5e04b4bb">
      <Terms xmlns="http://schemas.microsoft.com/office/infopath/2007/PartnerControls"/>
    </lcf76f155ced4ddcb4097134ff3c332f>
    <hfb23c77fa4f4618a5f446ac03ac12ab xmlns="ea1a9bfc-76a9-4942-bb84-a249f7d50da2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Operation and maintenance (OM)</TermName>
          <TermId xmlns="http://schemas.microsoft.com/office/infopath/2007/PartnerControls">2f792156-1444-4990-b757-a571494857be</TermId>
        </TermInfo>
      </Terms>
    </hfb23c77fa4f4618a5f446ac03ac12ab>
  </documentManagement>
</p:properties>
</file>

<file path=customXml/item3.xml><?xml version="1.0" encoding="utf-8"?>
<?mso-contentType ?>
<SharedContentType xmlns="Microsoft.SharePoint.Taxonomy.ContentTypeSync" SourceId="02f74cf1-ae9f-400d-bc52-3bcd3a9e177f" ContentTypeId="0x0101" PreviousValue="false" LastSyncTimeStamp="2017-04-04T06:38:12.213Z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9C255F5FAD777141BBEE067A11771F0A" ma:contentTypeVersion="13" ma:contentTypeDescription="Crie um novo documento." ma:contentTypeScope="" ma:versionID="650fb41e35d0d342ed1ccc5507614c2f">
  <xsd:schema xmlns:xsd="http://www.w3.org/2001/XMLSchema" xmlns:xs="http://www.w3.org/2001/XMLSchema" xmlns:p="http://schemas.microsoft.com/office/2006/metadata/properties" xmlns:ns2="ea1a9bfc-76a9-4942-bb84-a249f7d50da2" xmlns:ns3="00bf9c0c-280a-47c4-848b-352c5e04b4bb" targetNamespace="http://schemas.microsoft.com/office/2006/metadata/properties" ma:root="true" ma:fieldsID="59c824d043289fb5f1cd819862a8d56c" ns2:_="" ns3:_="">
    <xsd:import namespace="ea1a9bfc-76a9-4942-bb84-a249f7d50da2"/>
    <xsd:import namespace="00bf9c0c-280a-47c4-848b-352c5e04b4bb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2:TaxCatchAll" minOccurs="0"/>
                <xsd:element ref="ns2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2:m0347c9175b146a684f1230523809245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lcf76f155ced4ddcb4097134ff3c332f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BillingMetadata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9bfc-76a9-4942-bb84-a249f7d50da2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5;#EXPLORATION ＆ PRODUCTION INTERNATIONAL (EPI)|76777ab9-3b5c-45dc-b1bf-cae5e8c2a234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8403d765-f298-4139-8e58-d4c0261276bd}" ma:internalName="TaxCatchAll" ma:showField="CatchAllData" ma:web="ea1a9bfc-76a9-4942-bb84-a249f7d50d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8403d765-f298-4139-8e58-d4c0261276bd}" ma:internalName="TaxCatchAllLabel" ma:readOnly="true" ma:showField="CatchAllDataLabel" ma:web="ea1a9bfc-76a9-4942-bb84-a249f7d50da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bf6ec96a4d94feeaf76fee4d5d0c80e" ma:index="12" ma:taxonomy="true" ma:internalName="mbf6ec96a4d94feeaf76fee4d5d0c80e" ma:taxonomyFieldName="EIMCountry" ma:displayName="Country" ma:default="6;#Brazil|d641e264-f157-42ed-8f97-e17c8f6cf33a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10;#Operation and Maintenance documentation|4767e6fc-97fe-4895-ba5a-80e461cbd45d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7;#Equinor Brasil Energia Ltda.|5b4a339c-2b69-419f-be0c-27e975216a58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8;#Operation and maintenance (OM)|2f792156-1444-4990-b757-a571494857be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9;#Technical integrity management|ce6b1ab7-1aca-4450-a1c0-cb6e89a524cc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Internal|3361fef0-33ac-457d-8a1d-df19735ffcb1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0347c9175b146a684f1230523809245" ma:index="28" nillable="true" ma:taxonomy="true" ma:internalName="m0347c9175b146a684f1230523809245" ma:taxonomyFieldName="EIMDiscipline" ma:displayName="Discipline" ma:default="11;#Fiscal metering systems ＆ field allocation|9d88b364-b47a-4a1e-8100-07f26438537d" ma:fieldId="{60347c91-75b1-46a6-84f1-230523809245}" ma:taxonomyMulti="true" ma:sspId="02f74cf1-ae9f-400d-bc52-3bcd3a9e177f" ma:termSetId="d1866989-1eec-46c3-b7d1-bd44d164569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bf9c0c-280a-47c4-848b-352c5e04b4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3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3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35" nillable="true" ma:taxonomy="true" ma:internalName="lcf76f155ced4ddcb4097134ff3c332f" ma:taxonomyFieldName="MediaServiceImageTags" ma:displayName="Marcações de imagem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3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3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BillingMetadata" ma:index="40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LengthInSeconds" ma:index="4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BD4DCB-23FE-4E5B-9B1C-E0567821D723}">
  <ds:schemaRefs>
    <ds:schemaRef ds:uri="http://www.w3.org/2001/XMLSchema"/>
    <ds:schemaRef ds:uri="http://www.aspentech.com/ProcessData/ExcelAddIn/IP21ConfigWorkBook"/>
  </ds:schemaRefs>
</ds:datastoreItem>
</file>

<file path=customXml/itemProps2.xml><?xml version="1.0" encoding="utf-8"?>
<ds:datastoreItem xmlns:ds="http://schemas.openxmlformats.org/officeDocument/2006/customXml" ds:itemID="{66926992-1787-4913-945B-B1909B06BFB5}">
  <ds:schemaRefs>
    <ds:schemaRef ds:uri="http://schemas.microsoft.com/office/2006/metadata/properties"/>
    <ds:schemaRef ds:uri="http://schemas.microsoft.com/office/infopath/2007/PartnerControls"/>
    <ds:schemaRef ds:uri="ea1a9bfc-76a9-4942-bb84-a249f7d50da2"/>
    <ds:schemaRef ds:uri="00bf9c0c-280a-47c4-848b-352c5e04b4bb"/>
  </ds:schemaRefs>
</ds:datastoreItem>
</file>

<file path=customXml/itemProps3.xml><?xml version="1.0" encoding="utf-8"?>
<ds:datastoreItem xmlns:ds="http://schemas.openxmlformats.org/officeDocument/2006/customXml" ds:itemID="{F891BE52-AE65-4EDB-8FE3-31203EE72298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E4A50AC3-848F-44FA-B199-F1B1746D8CE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5964F3E3-F3FB-44B1-8EC2-66960C3E45C6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17E219D-DE45-4BCB-8B86-89D4F9A31710}"/>
</file>

<file path=docMetadata/LabelInfo.xml><?xml version="1.0" encoding="utf-8"?>
<clbl:labelList xmlns:clbl="http://schemas.microsoft.com/office/2020/mipLabelMetadata">
  <clbl:label id="{8c0fd9d9-30b4-46b7-8b7b-c1b67ed693a5}" enabled="1" method="Standard" siteId="{3aa4a235-b6e2-48d5-9195-7fcf05b459b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1-Registro_Principal</vt:lpstr>
      <vt:lpstr>2-PVT_FC_S320</vt:lpstr>
      <vt:lpstr>2-Composition_Table_PVT</vt:lpstr>
      <vt:lpstr>2-Valores Calculados</vt:lpstr>
      <vt:lpstr>2-Resultados da Simulação</vt:lpstr>
      <vt:lpstr>3-Dados_Totalizados_27&amp;28_03</vt:lpstr>
      <vt:lpstr>SEP_27&amp;28_03_OLEO</vt:lpstr>
      <vt:lpstr>SEP_27&amp;28_03_GAS</vt:lpstr>
      <vt:lpstr>SEP_27&amp;28_03_AGUA</vt:lpstr>
      <vt:lpstr>4-Fator_ReconciliaçãoK</vt:lpstr>
      <vt:lpstr>5-Pos_Monitoramento</vt:lpstr>
      <vt:lpstr>5.1 TotalHorario_Acomp18&amp;19_04</vt:lpstr>
      <vt:lpstr>SEP_18&amp;19_04_OLEO</vt:lpstr>
      <vt:lpstr>SEP_18&amp;19_04_GAS</vt:lpstr>
      <vt:lpstr>SEP_18&amp;19_04_AGUA</vt:lpstr>
      <vt:lpstr>MPFM_Horario_18&amp;19_04</vt:lpstr>
      <vt:lpstr>SEP_29_03_OLEO</vt:lpstr>
      <vt:lpstr>5.1 TotalHorario_Acomp28&amp;29_03</vt:lpstr>
      <vt:lpstr>SEP_29_03_GAS</vt:lpstr>
      <vt:lpstr>SEP_29_03_AGUA</vt:lpstr>
      <vt:lpstr>MPFM_Horario_29&amp;30_03</vt:lpstr>
      <vt:lpstr>MPFM_Horario_27&amp;28_03</vt:lpstr>
      <vt:lpstr>'2-Resultados da Simulação'!Print_Area</vt:lpstr>
      <vt:lpstr>'2-Valores Calculados'!Print_Area</vt:lpstr>
      <vt:lpstr>'3-Dados_Totalizados_27&amp;28_03'!Print_Area</vt:lpstr>
      <vt:lpstr>'5.1 TotalHorario_Acomp18&amp;19_04'!Print_Area</vt:lpstr>
      <vt:lpstr>'5.1 TotalHorario_Acomp28&amp;29_03'!Print_Area</vt:lpstr>
      <vt:lpstr>'5-Pos_Monitoramento'!Print_Area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Mauricio Anízio de Amorim (Swift Technical Serv Tec Es</cp:lastModifiedBy>
  <cp:revision/>
  <dcterms:created xsi:type="dcterms:W3CDTF">2026-01-15T08:53:12Z</dcterms:created>
  <dcterms:modified xsi:type="dcterms:W3CDTF">2026-04-28T10:30:20Z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0x01010021A623C39873404E8BA89587BD4428B401009C255F5FAD777141BBEE067A11771F0A</vt:lpwstr>
  </property>
  <property fmtid="{D5CDD505-2E9C-101B-9397-08002B2CF9AE}" pid="3" name="EIMDiscipline">
    <vt:lpwstr>11;#Fiscal metering systems ＆ field allocation|9d88b364-b47a-4a1e-8100-07f26438537d</vt:lpwstr>
  </property>
  <property fmtid="{D5CDD505-2E9C-101B-9397-08002B2CF9AE}" pid="4" name="EIMInformationAsset">
    <vt:lpwstr>10;#Operation and Maintenance documentation|4767e6fc-97fe-4895-ba5a-80e461cbd45d</vt:lpwstr>
  </property>
  <property fmtid="{D5CDD505-2E9C-101B-9397-08002B2CF9AE}" pid="5" name="EIMProcessArea">
    <vt:lpwstr>8;#Operation and maintenance (OM)|2f792156-1444-4990-b757-a571494857be</vt:lpwstr>
  </property>
  <property fmtid="{D5CDD505-2E9C-101B-9397-08002B2CF9AE}" pid="6" name="EIMLegalEntity">
    <vt:lpwstr>7;#Equinor Brasil Energia Ltda.|5b4a339c-2b69-419f-be0c-27e975216a58</vt:lpwstr>
  </property>
  <property fmtid="{D5CDD505-2E9C-101B-9397-08002B2CF9AE}" pid="7" name="EIMCountry">
    <vt:lpwstr>6;#Brazil|d641e264-f157-42ed-8f97-e17c8f6cf33a</vt:lpwstr>
  </property>
  <property fmtid="{D5CDD505-2E9C-101B-9397-08002B2CF9AE}" pid="8" name="EIMSource">
    <vt:lpwstr>3;#Office 365|23cc2eaf-b88f-49bf-9aee-2309aadb8846</vt:lpwstr>
  </property>
  <property fmtid="{D5CDD505-2E9C-101B-9397-08002B2CF9AE}" pid="9" name="EIMStatus">
    <vt:lpwstr>2;#Draft|af4d3abd-d88d-48b7-8fea-db9baac9496f</vt:lpwstr>
  </property>
  <property fmtid="{D5CDD505-2E9C-101B-9397-08002B2CF9AE}" pid="10" name="EIMSecurityClassification">
    <vt:lpwstr>4;#Internal|3361fef0-33ac-457d-8a1d-df19735ffcb1</vt:lpwstr>
  </property>
  <property fmtid="{D5CDD505-2E9C-101B-9397-08002B2CF9AE}" pid="11" name="EIMBusinessArea">
    <vt:lpwstr>5;#EXPLORATION ＆ PRODUCTION INTERNATIONAL (EPI)|76777ab9-3b5c-45dc-b1bf-cae5e8c2a234</vt:lpwstr>
  </property>
  <property fmtid="{D5CDD505-2E9C-101B-9397-08002B2CF9AE}" pid="12" name="EIMProcess">
    <vt:lpwstr>9;#Technical integrity management|ce6b1ab7-1aca-4450-a1c0-cb6e89a524cc</vt:lpwstr>
  </property>
  <property fmtid="{D5CDD505-2E9C-101B-9397-08002B2CF9AE}" pid="13" name="MediaServiceImageTags">
    <vt:lpwstr/>
  </property>
</Properties>
</file>