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Seguimiento ventas\1. SEGUIMIENTO DE VENTAS DUQUESA SA\3. COMISIONES\11. NOVIEMBRE 2021\"/>
    </mc:Choice>
  </mc:AlternateContent>
  <xr:revisionPtr revIDLastSave="0" documentId="13_ncr:1_{0262BF01-4C3B-48E8-8B33-F5185CD12956}" xr6:coauthVersionLast="47" xr6:coauthVersionMax="47" xr10:uidLastSave="{00000000-0000-0000-0000-000000000000}"/>
  <bookViews>
    <workbookView xWindow="-108" yWindow="-108" windowWidth="23256" windowHeight="12576" tabRatio="947" activeTab="2" xr2:uid="{65FC81BE-7107-4DF7-AC75-150B531B9666}"/>
  </bookViews>
  <sheets>
    <sheet name="COLABORADORES" sheetId="1" r:id="rId1"/>
    <sheet name="ACELERADORES DE CUMPLIMIENTO" sheetId="3" r:id="rId2"/>
    <sheet name="CONSOLIDADO LIQUIDACIÓN" sheetId="29" r:id="rId3"/>
    <sheet name="TABLA DE LIQUIDACION RV" sheetId="2" r:id="rId4"/>
    <sheet name="TABLA DE LIQUIDACION (Prev)" sheetId="33" r:id="rId5"/>
    <sheet name="TABLA DE LIQUIDACION JV" sheetId="20" r:id="rId6"/>
    <sheet name="TABLA DE LIQUIDACION DC" sheetId="22" r:id="rId7"/>
    <sheet name="SOPORTE VENTAS" sheetId="10" state="hidden" r:id="rId8"/>
    <sheet name="SOPORTE RENTABILIDAD" sheetId="31" state="hidden" r:id="rId9"/>
    <sheet name="SOPORTE RECAUDOS" sheetId="12" state="hidden" r:id="rId10"/>
    <sheet name="SOPORTE PREVENTA" sheetId="35" r:id="rId11"/>
  </sheets>
  <definedNames>
    <definedName name="_xlnm._FilterDatabase" localSheetId="0" hidden="1">COLABORADORES!$B$1:$P$43</definedName>
    <definedName name="_xlnm._FilterDatabase" localSheetId="4" hidden="1">'TABLA DE LIQUIDACION (Prev)'!$C$4:$AF$5</definedName>
    <definedName name="_xlnm._FilterDatabase" localSheetId="6" hidden="1">'TABLA DE LIQUIDACION DC'!$C$4:$AJ$7</definedName>
    <definedName name="_xlnm._FilterDatabase" localSheetId="5" hidden="1">'TABLA DE LIQUIDACION JV'!$D$4:$AL$7</definedName>
    <definedName name="_xlnm._FilterDatabase" localSheetId="3" hidden="1">'TABLA DE LIQUIDACION RV'!$D$4:$AG$24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4" i="22" l="1"/>
  <c r="Z7" i="22"/>
  <c r="AB7" i="20"/>
  <c r="W7" i="20"/>
  <c r="S14" i="31" l="1"/>
  <c r="J26" i="2" l="1"/>
  <c r="K18" i="29"/>
  <c r="J18" i="29"/>
  <c r="I18" i="29"/>
  <c r="H18" i="29"/>
  <c r="W14" i="2"/>
  <c r="L19" i="1"/>
  <c r="J25" i="2"/>
  <c r="U16" i="2"/>
  <c r="O5" i="2" l="1"/>
  <c r="J5" i="12"/>
  <c r="M8" i="20"/>
  <c r="N8" i="20"/>
  <c r="O8" i="20" s="1"/>
  <c r="Z8" i="20" s="1"/>
  <c r="J8" i="20"/>
  <c r="K8" i="20"/>
  <c r="Y8" i="20" s="1"/>
  <c r="I8" i="20"/>
  <c r="H8" i="20"/>
  <c r="D18" i="29" s="1"/>
  <c r="G8" i="20"/>
  <c r="A14" i="29"/>
  <c r="J13" i="29"/>
  <c r="A13" i="29"/>
  <c r="L38" i="1"/>
  <c r="AG8" i="20" l="1"/>
  <c r="E18" i="29"/>
  <c r="AC8" i="20"/>
  <c r="AF8" i="20"/>
  <c r="AD8" i="20"/>
  <c r="L43" i="1"/>
  <c r="L42" i="1"/>
  <c r="S10" i="33"/>
  <c r="S9" i="33"/>
  <c r="S8" i="33"/>
  <c r="S7" i="33"/>
  <c r="S6" i="33"/>
  <c r="S5" i="33"/>
  <c r="B4" i="35"/>
  <c r="C4" i="35"/>
  <c r="B3" i="35"/>
  <c r="C3" i="35"/>
  <c r="D3" i="35"/>
  <c r="E3" i="35"/>
  <c r="F3" i="35"/>
  <c r="G3" i="35"/>
  <c r="D4" i="35"/>
  <c r="E4" i="35"/>
  <c r="F4" i="35"/>
  <c r="G4" i="35"/>
  <c r="U10" i="33"/>
  <c r="X10" i="33"/>
  <c r="J10" i="33"/>
  <c r="K10" i="33"/>
  <c r="M10" i="33"/>
  <c r="N10" i="33" s="1"/>
  <c r="V10" i="33" s="1"/>
  <c r="Y10" i="33" s="1"/>
  <c r="T10" i="33"/>
  <c r="W10" i="33" s="1"/>
  <c r="Z10" i="33" s="1"/>
  <c r="G10" i="33"/>
  <c r="D29" i="29" s="1"/>
  <c r="H10" i="33"/>
  <c r="G9" i="33"/>
  <c r="L32" i="1"/>
  <c r="J32" i="1"/>
  <c r="AA10" i="33" l="1"/>
  <c r="AB10" i="33" s="1"/>
  <c r="H29" i="29" s="1"/>
  <c r="E29" i="29"/>
  <c r="AC10" i="33" l="1"/>
  <c r="I29" i="29" s="1"/>
  <c r="AD10" i="33"/>
  <c r="J29" i="29" s="1"/>
  <c r="AF10" i="33" l="1"/>
  <c r="L29" i="29" s="1"/>
  <c r="M9" i="33"/>
  <c r="A6" i="29" l="1"/>
  <c r="A7" i="29"/>
  <c r="A8" i="29"/>
  <c r="A9" i="29"/>
  <c r="A10" i="29"/>
  <c r="A11" i="29"/>
  <c r="A12" i="29"/>
  <c r="A15" i="29"/>
  <c r="A16" i="29"/>
  <c r="A17" i="29"/>
  <c r="A19" i="29"/>
  <c r="A20" i="29"/>
  <c r="A21" i="29"/>
  <c r="A5" i="29"/>
  <c r="R17" i="31"/>
  <c r="B8" i="2"/>
  <c r="T8" i="2" s="1"/>
  <c r="B7" i="2"/>
  <c r="S7" i="2" s="1"/>
  <c r="B6" i="2"/>
  <c r="T6" i="2" s="1"/>
  <c r="B5" i="2"/>
  <c r="T7" i="2" l="1"/>
  <c r="S5" i="2"/>
  <c r="S8" i="2"/>
  <c r="S6" i="2"/>
  <c r="N12" i="33"/>
  <c r="G8" i="2"/>
  <c r="G6" i="2"/>
  <c r="G6" i="29" s="1"/>
  <c r="G7" i="2"/>
  <c r="B9" i="2"/>
  <c r="B10" i="2"/>
  <c r="B11" i="2"/>
  <c r="B12" i="2"/>
  <c r="B13" i="2"/>
  <c r="B14" i="2"/>
  <c r="B15" i="2"/>
  <c r="B16" i="2"/>
  <c r="B17" i="2"/>
  <c r="B18" i="2"/>
  <c r="G18" i="2" s="1"/>
  <c r="B19" i="2"/>
  <c r="B20" i="2"/>
  <c r="B21" i="2"/>
  <c r="B22" i="2"/>
  <c r="B23" i="2"/>
  <c r="B24" i="2"/>
  <c r="B25" i="2"/>
  <c r="B26" i="2"/>
  <c r="B27" i="2"/>
  <c r="G25" i="2"/>
  <c r="G26" i="2"/>
  <c r="G27" i="2"/>
  <c r="I27" i="2"/>
  <c r="H27" i="2"/>
  <c r="D17" i="29" s="1"/>
  <c r="F27" i="2"/>
  <c r="L30" i="1"/>
  <c r="J30" i="1"/>
  <c r="G13" i="29" l="1"/>
  <c r="T18" i="2"/>
  <c r="S18" i="2"/>
  <c r="G17" i="2"/>
  <c r="S17" i="2"/>
  <c r="T17" i="2"/>
  <c r="G9" i="2"/>
  <c r="G7" i="29" s="1"/>
  <c r="S9" i="2"/>
  <c r="T9" i="2"/>
  <c r="G17" i="29"/>
  <c r="G10" i="2"/>
  <c r="G8" i="29" s="1"/>
  <c r="T10" i="2"/>
  <c r="S10" i="2"/>
  <c r="G16" i="2"/>
  <c r="G12" i="29" s="1"/>
  <c r="T16" i="2"/>
  <c r="S16" i="2"/>
  <c r="G15" i="2"/>
  <c r="G11" i="29" s="1"/>
  <c r="S15" i="2"/>
  <c r="T15" i="2"/>
  <c r="AB27" i="2"/>
  <c r="E17" i="29"/>
  <c r="G23" i="2"/>
  <c r="S23" i="2"/>
  <c r="T23" i="2"/>
  <c r="T14" i="2"/>
  <c r="S14" i="2"/>
  <c r="G13" i="2"/>
  <c r="G10" i="29" s="1"/>
  <c r="S13" i="2"/>
  <c r="T13" i="2"/>
  <c r="G14" i="2"/>
  <c r="G21" i="2"/>
  <c r="S21" i="2"/>
  <c r="T21" i="2"/>
  <c r="G12" i="2"/>
  <c r="G9" i="29" s="1"/>
  <c r="T12" i="2"/>
  <c r="S12" i="2"/>
  <c r="G16" i="29"/>
  <c r="G22" i="2"/>
  <c r="T22" i="2"/>
  <c r="S22" i="2"/>
  <c r="G20" i="2"/>
  <c r="T20" i="2"/>
  <c r="S20" i="2"/>
  <c r="G19" i="2"/>
  <c r="S19" i="2"/>
  <c r="T19" i="2"/>
  <c r="G11" i="2"/>
  <c r="S11" i="2"/>
  <c r="S8" i="20" s="1"/>
  <c r="T11" i="2"/>
  <c r="T8" i="20" s="1"/>
  <c r="G15" i="29"/>
  <c r="H26" i="2"/>
  <c r="M8" i="2"/>
  <c r="N8" i="2"/>
  <c r="K8" i="2"/>
  <c r="J8" i="2"/>
  <c r="U8" i="20" l="1"/>
  <c r="AA8" i="20" s="1"/>
  <c r="AE8" i="20" s="1"/>
  <c r="AL8" i="20" s="1"/>
  <c r="L18" i="29" s="1"/>
  <c r="Z17" i="22"/>
  <c r="AD17" i="22" s="1"/>
  <c r="Z10" i="22"/>
  <c r="J8" i="33" l="1"/>
  <c r="J9" i="33"/>
  <c r="T8" i="33" l="1"/>
  <c r="W8" i="33" s="1"/>
  <c r="Z8" i="33" s="1"/>
  <c r="T9" i="33"/>
  <c r="W9" i="33" s="1"/>
  <c r="Z9" i="33" s="1"/>
  <c r="M8" i="33"/>
  <c r="N9" i="33"/>
  <c r="V9" i="33" s="1"/>
  <c r="Y9" i="33" s="1"/>
  <c r="K8" i="33"/>
  <c r="U8" i="33" s="1"/>
  <c r="X8" i="33" s="1"/>
  <c r="K9" i="33"/>
  <c r="U9" i="33" s="1"/>
  <c r="X9" i="33" s="1"/>
  <c r="G8" i="33"/>
  <c r="D27" i="29" s="1"/>
  <c r="H8" i="33"/>
  <c r="E27" i="29" s="1"/>
  <c r="D28" i="29"/>
  <c r="H9" i="33"/>
  <c r="E28" i="29" s="1"/>
  <c r="L31" i="1"/>
  <c r="L33" i="1"/>
  <c r="J33" i="1"/>
  <c r="J31" i="1"/>
  <c r="M7" i="33"/>
  <c r="M6" i="33"/>
  <c r="M5" i="33"/>
  <c r="N8" i="33" l="1"/>
  <c r="V8" i="33" s="1"/>
  <c r="Y8" i="33" s="1"/>
  <c r="AA9" i="33"/>
  <c r="AA8" i="33"/>
  <c r="AB8" i="33" l="1"/>
  <c r="H27" i="29" s="1"/>
  <c r="AC8" i="33"/>
  <c r="I27" i="29" s="1"/>
  <c r="AD9" i="33"/>
  <c r="J28" i="29" s="1"/>
  <c r="AC9" i="33"/>
  <c r="I28" i="29" s="1"/>
  <c r="AB9" i="33"/>
  <c r="AD8" i="33"/>
  <c r="AF8" i="33" l="1"/>
  <c r="L27" i="29" s="1"/>
  <c r="J27" i="29"/>
  <c r="AF9" i="33"/>
  <c r="L28" i="29" s="1"/>
  <c r="H28" i="29"/>
  <c r="I26" i="2"/>
  <c r="L27" i="1"/>
  <c r="AB26" i="2" l="1"/>
  <c r="E16" i="29"/>
  <c r="D16" i="29"/>
  <c r="F26" i="2"/>
  <c r="J42" i="1" l="1"/>
  <c r="J43" i="1"/>
  <c r="K11" i="2" l="1"/>
  <c r="H28" i="12"/>
  <c r="H29" i="12" s="1"/>
  <c r="AD7" i="22" l="1"/>
  <c r="J37" i="1" l="1"/>
  <c r="Z17" i="31"/>
  <c r="G7" i="33"/>
  <c r="G6" i="33"/>
  <c r="D25" i="29" l="1"/>
  <c r="D26" i="29"/>
  <c r="L36" i="1"/>
  <c r="L35" i="1"/>
  <c r="H6" i="33"/>
  <c r="AA6" i="33" s="1"/>
  <c r="AC6" i="33" s="1"/>
  <c r="H7" i="33"/>
  <c r="AA7" i="33" s="1"/>
  <c r="AC7" i="33" s="1"/>
  <c r="H5" i="33"/>
  <c r="AA5" i="33" s="1"/>
  <c r="N6" i="33"/>
  <c r="V6" i="33" s="1"/>
  <c r="Y6" i="33" s="1"/>
  <c r="N7" i="33"/>
  <c r="V7" i="33" s="1"/>
  <c r="Y7" i="33" s="1"/>
  <c r="J7" i="33"/>
  <c r="K7" i="33" s="1"/>
  <c r="U7" i="33" s="1"/>
  <c r="X7" i="33" s="1"/>
  <c r="J6" i="33"/>
  <c r="K6" i="33" s="1"/>
  <c r="U6" i="33" s="1"/>
  <c r="X6" i="33" s="1"/>
  <c r="T7" i="33"/>
  <c r="W7" i="33" s="1"/>
  <c r="Z7" i="33" s="1"/>
  <c r="T6" i="33"/>
  <c r="W6" i="33" s="1"/>
  <c r="Z6" i="33" s="1"/>
  <c r="J5" i="33"/>
  <c r="AD5" i="33" l="1"/>
  <c r="AB5" i="33"/>
  <c r="AC5" i="33"/>
  <c r="I25" i="29"/>
  <c r="AB6" i="33"/>
  <c r="H25" i="29" s="1"/>
  <c r="AD6" i="33"/>
  <c r="J25" i="29" s="1"/>
  <c r="AB7" i="33"/>
  <c r="H26" i="29" s="1"/>
  <c r="E26" i="29"/>
  <c r="E25" i="29"/>
  <c r="AD7" i="33"/>
  <c r="J26" i="29" s="1"/>
  <c r="I26" i="29"/>
  <c r="AF5" i="33" l="1"/>
  <c r="AF6" i="33"/>
  <c r="L25" i="29" s="1"/>
  <c r="AF7" i="33"/>
  <c r="L26" i="29" s="1"/>
  <c r="E28" i="12" l="1"/>
  <c r="E29" i="12" s="1"/>
  <c r="J29" i="12" l="1"/>
  <c r="O5" i="33"/>
  <c r="G5" i="33"/>
  <c r="D24" i="29" s="1"/>
  <c r="B5" i="33"/>
  <c r="E24" i="29" l="1"/>
  <c r="N5" i="33"/>
  <c r="V5" i="33" s="1"/>
  <c r="Y5" i="33" s="1"/>
  <c r="P5" i="33"/>
  <c r="Q5" i="33" s="1"/>
  <c r="K5" i="33"/>
  <c r="U5" i="33" s="1"/>
  <c r="X5" i="33" s="1"/>
  <c r="I24" i="29" l="1"/>
  <c r="H24" i="29"/>
  <c r="T5" i="33"/>
  <c r="W5" i="33" s="1"/>
  <c r="Z5" i="33" s="1"/>
  <c r="J24" i="29" s="1"/>
  <c r="L24" i="29" l="1"/>
  <c r="N18" i="2"/>
  <c r="N19" i="2"/>
  <c r="U14" i="22" l="1"/>
  <c r="U17" i="22" s="1"/>
  <c r="I21" i="1" l="1"/>
  <c r="E14" i="22"/>
  <c r="AD14" i="22"/>
  <c r="J6" i="12" l="1"/>
  <c r="J7" i="12"/>
  <c r="J8" i="12"/>
  <c r="J9" i="12"/>
  <c r="J10" i="12"/>
  <c r="J11" i="12"/>
  <c r="J12" i="12"/>
  <c r="J13" i="12"/>
  <c r="J14" i="12"/>
  <c r="J15" i="12"/>
  <c r="J16" i="12"/>
  <c r="M12" i="2"/>
  <c r="N12" i="2"/>
  <c r="M13" i="2"/>
  <c r="N13" i="2"/>
  <c r="O12" i="2" l="1"/>
  <c r="O13" i="2"/>
  <c r="G14" i="22"/>
  <c r="F14" i="22"/>
  <c r="D20" i="29" s="1"/>
  <c r="AE14" i="22" l="1"/>
  <c r="E20" i="29"/>
  <c r="AI17" i="22" l="1"/>
  <c r="AI14" i="22"/>
  <c r="K20" i="29" s="1"/>
  <c r="M4" i="31" l="1"/>
  <c r="M9" i="31"/>
  <c r="M10" i="31" s="1"/>
  <c r="N10" i="31" s="1"/>
  <c r="M5" i="31" l="1"/>
  <c r="N11" i="31"/>
  <c r="N5" i="31" l="1"/>
  <c r="N6" i="31" s="1"/>
  <c r="J17" i="12"/>
  <c r="J18" i="12"/>
  <c r="J19" i="12"/>
  <c r="J20" i="12"/>
  <c r="J21" i="12"/>
  <c r="J22" i="12"/>
  <c r="J23" i="12"/>
  <c r="J24" i="12"/>
  <c r="J27" i="12"/>
  <c r="U7" i="22" l="1"/>
  <c r="U10" i="22" s="1"/>
  <c r="M19" i="2" l="1"/>
  <c r="V14" i="2"/>
  <c r="O19" i="2" l="1"/>
  <c r="G5" i="20" l="1"/>
  <c r="H5" i="20"/>
  <c r="G6" i="20"/>
  <c r="H6" i="20"/>
  <c r="G6" i="22" l="1"/>
  <c r="F6" i="22"/>
  <c r="E6" i="22"/>
  <c r="G5" i="22"/>
  <c r="F5" i="22"/>
  <c r="E5" i="22"/>
  <c r="L14" i="1"/>
  <c r="A19" i="12" l="1"/>
  <c r="J22" i="1" l="1"/>
  <c r="J17" i="1"/>
  <c r="J41" i="1"/>
  <c r="J40" i="1"/>
  <c r="J38" i="1"/>
  <c r="L16" i="1"/>
  <c r="J16" i="1"/>
  <c r="J8" i="1"/>
  <c r="L17" i="1"/>
  <c r="J4" i="1" l="1"/>
  <c r="K10" i="2" l="1"/>
  <c r="K12" i="2"/>
  <c r="K13" i="2"/>
  <c r="K14" i="2"/>
  <c r="K15" i="2"/>
  <c r="K16" i="2"/>
  <c r="K17" i="2"/>
  <c r="K18" i="2"/>
  <c r="K19" i="2"/>
  <c r="K9" i="2"/>
  <c r="K20" i="2"/>
  <c r="K21" i="2"/>
  <c r="K22" i="2"/>
  <c r="K27" i="2" s="1"/>
  <c r="K23" i="2"/>
  <c r="K26" i="2" l="1"/>
  <c r="K24" i="2"/>
  <c r="G8" i="31" l="1"/>
  <c r="H7" i="31" l="1"/>
  <c r="G12" i="31"/>
  <c r="G10" i="31"/>
  <c r="G5" i="31"/>
  <c r="G3" i="31"/>
  <c r="G7" i="31" l="1"/>
  <c r="I7" i="31" s="1"/>
  <c r="D28" i="12" l="1"/>
  <c r="J28" i="12" l="1"/>
  <c r="AD10" i="22" l="1"/>
  <c r="J21" i="1"/>
  <c r="G7" i="22"/>
  <c r="F7" i="22"/>
  <c r="D21" i="29" s="1"/>
  <c r="M6" i="2"/>
  <c r="G7" i="20"/>
  <c r="I7" i="20"/>
  <c r="H7" i="20"/>
  <c r="D19" i="29" s="1"/>
  <c r="F7" i="20"/>
  <c r="G24" i="2"/>
  <c r="I14" i="2"/>
  <c r="AB14" i="2" s="1"/>
  <c r="I13" i="2"/>
  <c r="E10" i="29" s="1"/>
  <c r="I24" i="2"/>
  <c r="I23" i="2"/>
  <c r="I22" i="2"/>
  <c r="AB22" i="2" s="1"/>
  <c r="I21" i="2"/>
  <c r="I20" i="2"/>
  <c r="I9" i="2"/>
  <c r="E7" i="29" s="1"/>
  <c r="I25" i="2"/>
  <c r="E15" i="29" s="1"/>
  <c r="I19" i="2"/>
  <c r="I18" i="2"/>
  <c r="E13" i="29" s="1"/>
  <c r="I16" i="2"/>
  <c r="E12" i="29" s="1"/>
  <c r="I15" i="2"/>
  <c r="E11" i="29" s="1"/>
  <c r="I12" i="2"/>
  <c r="AB12" i="2" s="1"/>
  <c r="I11" i="2"/>
  <c r="I10" i="2"/>
  <c r="E8" i="29" s="1"/>
  <c r="I8" i="2"/>
  <c r="I7" i="2"/>
  <c r="I6" i="2"/>
  <c r="E6" i="29" s="1"/>
  <c r="I5" i="2"/>
  <c r="E5" i="29" s="1"/>
  <c r="I17" i="2"/>
  <c r="AB17" i="2" s="1"/>
  <c r="H14" i="2"/>
  <c r="H13" i="2"/>
  <c r="D10" i="29" s="1"/>
  <c r="H24" i="2"/>
  <c r="H23" i="2"/>
  <c r="D14" i="29" s="1"/>
  <c r="H22" i="2"/>
  <c r="H5" i="2"/>
  <c r="D5" i="29" s="1"/>
  <c r="H6" i="2"/>
  <c r="D6" i="29" s="1"/>
  <c r="H7" i="2"/>
  <c r="H8" i="2"/>
  <c r="H10" i="2"/>
  <c r="D8" i="29" s="1"/>
  <c r="H11" i="2"/>
  <c r="H12" i="2"/>
  <c r="D9" i="29" s="1"/>
  <c r="H15" i="2"/>
  <c r="D11" i="29" s="1"/>
  <c r="H16" i="2"/>
  <c r="D12" i="29" s="1"/>
  <c r="H18" i="2"/>
  <c r="D13" i="29" s="1"/>
  <c r="H19" i="2"/>
  <c r="H25" i="2"/>
  <c r="D15" i="29" s="1"/>
  <c r="H9" i="2"/>
  <c r="D7" i="29" s="1"/>
  <c r="H20" i="2"/>
  <c r="H21" i="2"/>
  <c r="H17" i="2"/>
  <c r="AB23" i="2" l="1"/>
  <c r="E14" i="29"/>
  <c r="E19" i="29"/>
  <c r="AG7" i="20"/>
  <c r="E9" i="29"/>
  <c r="AB7" i="2"/>
  <c r="AF7" i="20"/>
  <c r="AK7" i="20" l="1"/>
  <c r="K19" i="29" s="1"/>
  <c r="AB8" i="2" l="1"/>
  <c r="F8" i="2"/>
  <c r="L8" i="2" l="1"/>
  <c r="O8" i="2"/>
  <c r="W8" i="2" s="1"/>
  <c r="A11" i="12"/>
  <c r="V8" i="2" l="1"/>
  <c r="Y8" i="2" s="1"/>
  <c r="AC8" i="2" s="1"/>
  <c r="Z8" i="2"/>
  <c r="AD8" i="2" s="1"/>
  <c r="J23" i="2" l="1"/>
  <c r="M23" i="2"/>
  <c r="N23" i="2"/>
  <c r="F23" i="2"/>
  <c r="O23" i="2" l="1"/>
  <c r="W23" i="2" s="1"/>
  <c r="L23" i="2"/>
  <c r="V23" i="2" s="1"/>
  <c r="M14" i="2"/>
  <c r="Y23" i="2" l="1"/>
  <c r="AC23" i="2" s="1"/>
  <c r="Z23" i="2"/>
  <c r="AD23" i="2" s="1"/>
  <c r="AB11" i="2"/>
  <c r="J11" i="2"/>
  <c r="M11" i="2"/>
  <c r="N11" i="2"/>
  <c r="F18" i="2"/>
  <c r="AB18" i="2"/>
  <c r="J18" i="2"/>
  <c r="M18" i="2"/>
  <c r="F21" i="2"/>
  <c r="AB21" i="2"/>
  <c r="J21" i="2"/>
  <c r="M21" i="2"/>
  <c r="N21" i="2"/>
  <c r="P11" i="2" l="1"/>
  <c r="L11" i="2"/>
  <c r="V11" i="2" s="1"/>
  <c r="P18" i="2"/>
  <c r="O11" i="2"/>
  <c r="W11" i="2" s="1"/>
  <c r="Q21" i="2"/>
  <c r="Q11" i="2"/>
  <c r="O21" i="2"/>
  <c r="W21" i="2" s="1"/>
  <c r="Q18" i="2"/>
  <c r="P21" i="2"/>
  <c r="L21" i="2"/>
  <c r="V21" i="2" s="1"/>
  <c r="R11" i="2" l="1"/>
  <c r="W18" i="2"/>
  <c r="Z18" i="2" s="1"/>
  <c r="I13" i="29" s="1"/>
  <c r="V18" i="2"/>
  <c r="Y18" i="2" s="1"/>
  <c r="H13" i="29" s="1"/>
  <c r="Y11" i="2"/>
  <c r="AC11" i="2" s="1"/>
  <c r="Z11" i="2"/>
  <c r="AD11" i="2" s="1"/>
  <c r="Z21" i="2"/>
  <c r="AD21" i="2" s="1"/>
  <c r="Y21" i="2"/>
  <c r="AC21" i="2" s="1"/>
  <c r="R18" i="2"/>
  <c r="R21" i="2"/>
  <c r="E7" i="22" l="1"/>
  <c r="AE7" i="22" l="1"/>
  <c r="E21" i="29"/>
  <c r="AI7" i="22" l="1"/>
  <c r="K21" i="29" s="1"/>
  <c r="AI10" i="22"/>
  <c r="L20" i="1" l="1"/>
  <c r="N14" i="2"/>
  <c r="A23" i="12" l="1"/>
  <c r="A26" i="12"/>
  <c r="A27" i="12"/>
  <c r="M17" i="2"/>
  <c r="J13" i="2"/>
  <c r="F13" i="2"/>
  <c r="P13" i="2" l="1"/>
  <c r="L13" i="2"/>
  <c r="Y14" i="2"/>
  <c r="AC14" i="2" s="1"/>
  <c r="AB13" i="2"/>
  <c r="Q13" i="2"/>
  <c r="R13" i="2" l="1"/>
  <c r="V13" i="2"/>
  <c r="Y13" i="2" s="1"/>
  <c r="AC13" i="2" s="1"/>
  <c r="H10" i="29" s="1"/>
  <c r="W13" i="2"/>
  <c r="Z13" i="2" s="1"/>
  <c r="AD13" i="2" s="1"/>
  <c r="I10" i="29" s="1"/>
  <c r="J17" i="2"/>
  <c r="A6" i="12" l="1"/>
  <c r="A7" i="12"/>
  <c r="A9" i="12"/>
  <c r="A24" i="12"/>
  <c r="A13" i="12"/>
  <c r="A14" i="12"/>
  <c r="A15" i="12"/>
  <c r="A16" i="12"/>
  <c r="A17" i="12"/>
  <c r="A18" i="12"/>
  <c r="A20" i="12"/>
  <c r="A21" i="12"/>
  <c r="A22" i="12"/>
  <c r="A8" i="12"/>
  <c r="A10" i="12"/>
  <c r="A12" i="12"/>
  <c r="A5" i="12"/>
  <c r="G5" i="2" l="1"/>
  <c r="G5" i="29" s="1"/>
  <c r="T5" i="2"/>
  <c r="T7" i="20" s="1"/>
  <c r="T27" i="2"/>
  <c r="S30" i="2" l="1"/>
  <c r="S7" i="20"/>
  <c r="S27" i="2"/>
  <c r="U27" i="2" s="1"/>
  <c r="X27" i="2" s="1"/>
  <c r="AA27" i="2" s="1"/>
  <c r="AE27" i="2" s="1"/>
  <c r="J17" i="29" s="1"/>
  <c r="T26" i="2"/>
  <c r="S25" i="2"/>
  <c r="S26" i="2"/>
  <c r="T30" i="2"/>
  <c r="T25" i="2"/>
  <c r="U13" i="2"/>
  <c r="U12" i="2"/>
  <c r="S24" i="2"/>
  <c r="U8" i="2"/>
  <c r="U22" i="2"/>
  <c r="X22" i="2" s="1"/>
  <c r="AB25" i="2"/>
  <c r="U23" i="2"/>
  <c r="X23" i="2" s="1"/>
  <c r="T24" i="2"/>
  <c r="U11" i="2"/>
  <c r="X11" i="2" s="1"/>
  <c r="U21" i="2"/>
  <c r="X21" i="2" s="1"/>
  <c r="U18" i="2"/>
  <c r="X18" i="2" s="1"/>
  <c r="J18" i="1"/>
  <c r="U26" i="2" l="1"/>
  <c r="X26" i="2" s="1"/>
  <c r="AA26" i="2" s="1"/>
  <c r="AE26" i="2" s="1"/>
  <c r="J16" i="29" s="1"/>
  <c r="T10" i="20"/>
  <c r="S10" i="20"/>
  <c r="U24" i="2"/>
  <c r="X24" i="2" s="1"/>
  <c r="AA24" i="2" s="1"/>
  <c r="X8" i="2"/>
  <c r="AA8" i="2" s="1"/>
  <c r="AE8" i="2" s="1"/>
  <c r="AG8" i="2" s="1"/>
  <c r="X13" i="2"/>
  <c r="AA13" i="2" s="1"/>
  <c r="AE13" i="2" s="1"/>
  <c r="U7" i="20"/>
  <c r="AA7" i="20" s="1"/>
  <c r="AA18" i="2"/>
  <c r="AG18" i="2" s="1"/>
  <c r="L13" i="29" s="1"/>
  <c r="AA11" i="2"/>
  <c r="AE11" i="2" s="1"/>
  <c r="AG11" i="2" s="1"/>
  <c r="AA21" i="2"/>
  <c r="AE21" i="2" s="1"/>
  <c r="AG21" i="2" s="1"/>
  <c r="AA23" i="2"/>
  <c r="U14" i="2"/>
  <c r="N17" i="2"/>
  <c r="AG13" i="2" l="1"/>
  <c r="L10" i="29" s="1"/>
  <c r="J10" i="29"/>
  <c r="U10" i="20"/>
  <c r="X14" i="2"/>
  <c r="AE7" i="20"/>
  <c r="AE23" i="2"/>
  <c r="AJ7" i="20" l="1"/>
  <c r="J19" i="29" s="1"/>
  <c r="AA14" i="2"/>
  <c r="AE14" i="2" s="1"/>
  <c r="K5" i="2" l="1"/>
  <c r="K6" i="2"/>
  <c r="K7" i="2"/>
  <c r="J14" i="2"/>
  <c r="J5" i="2"/>
  <c r="J6" i="2"/>
  <c r="J7" i="2"/>
  <c r="J10" i="2"/>
  <c r="J12" i="2"/>
  <c r="J15" i="2"/>
  <c r="J16" i="2"/>
  <c r="J19" i="2"/>
  <c r="L19" i="2" s="1"/>
  <c r="J9" i="2"/>
  <c r="J20" i="2"/>
  <c r="J22" i="2"/>
  <c r="K7" i="20" l="1"/>
  <c r="K30" i="2"/>
  <c r="K35" i="2" s="1"/>
  <c r="J7" i="20"/>
  <c r="J27" i="2"/>
  <c r="L26" i="2"/>
  <c r="V26" i="2" s="1"/>
  <c r="Y26" i="2" s="1"/>
  <c r="AC26" i="2" s="1"/>
  <c r="H16" i="29" s="1"/>
  <c r="I7" i="22"/>
  <c r="K25" i="2"/>
  <c r="J30" i="2"/>
  <c r="J35" i="2" s="1"/>
  <c r="J24" i="2"/>
  <c r="L24" i="2" s="1"/>
  <c r="V24" i="2" s="1"/>
  <c r="Y24" i="2" s="1"/>
  <c r="V16" i="2"/>
  <c r="L5" i="2"/>
  <c r="L27" i="2" l="1"/>
  <c r="V27" i="2" s="1"/>
  <c r="Y27" i="2" s="1"/>
  <c r="AC27" i="2" s="1"/>
  <c r="H17" i="29" s="1"/>
  <c r="L30" i="2"/>
  <c r="J10" i="20"/>
  <c r="K10" i="20"/>
  <c r="V5" i="2"/>
  <c r="Y5" i="2" s="1"/>
  <c r="L7" i="20"/>
  <c r="Y7" i="20" s="1"/>
  <c r="P12" i="2"/>
  <c r="L10" i="20" l="1"/>
  <c r="AC7" i="20"/>
  <c r="AH7" i="20" s="1"/>
  <c r="H19" i="29" s="1"/>
  <c r="O10" i="3"/>
  <c r="N11" i="3" s="1"/>
  <c r="O8" i="3"/>
  <c r="L9" i="3" s="1"/>
  <c r="O6" i="3"/>
  <c r="N7" i="3" s="1"/>
  <c r="O4" i="3"/>
  <c r="M5" i="3" s="1"/>
  <c r="O47" i="3"/>
  <c r="Y56" i="3"/>
  <c r="Z56" i="3"/>
  <c r="L18" i="1"/>
  <c r="J34" i="1"/>
  <c r="J7" i="1"/>
  <c r="J9" i="1"/>
  <c r="J36" i="1"/>
  <c r="J35" i="1"/>
  <c r="J6" i="1"/>
  <c r="J26" i="1"/>
  <c r="J25" i="1"/>
  <c r="J29" i="1"/>
  <c r="J28" i="1"/>
  <c r="J23" i="1"/>
  <c r="J3" i="1"/>
  <c r="J14" i="1"/>
  <c r="J13" i="1"/>
  <c r="J12" i="1"/>
  <c r="O52" i="3"/>
  <c r="L7" i="3" l="1"/>
  <c r="M7" i="3"/>
  <c r="M9" i="3"/>
  <c r="N9" i="3"/>
  <c r="L11" i="3"/>
  <c r="L5" i="3"/>
  <c r="N5" i="3"/>
  <c r="M11" i="3"/>
  <c r="P17" i="2" l="1"/>
  <c r="U6" i="2" l="1"/>
  <c r="U17" i="2"/>
  <c r="X17" i="2" s="1"/>
  <c r="X6" i="2" l="1"/>
  <c r="AA6" i="2" s="1"/>
  <c r="AA17" i="2"/>
  <c r="AE17" i="2" s="1"/>
  <c r="J20" i="1"/>
  <c r="M15" i="2" l="1"/>
  <c r="N15" i="2"/>
  <c r="M10" i="2"/>
  <c r="M27" i="2" s="1"/>
  <c r="N10" i="2"/>
  <c r="N27" i="2" s="1"/>
  <c r="M5" i="2"/>
  <c r="N5" i="2"/>
  <c r="N6" i="2"/>
  <c r="M7" i="2"/>
  <c r="N7" i="2"/>
  <c r="O17" i="2" l="1"/>
  <c r="W17" i="2" l="1"/>
  <c r="Z17" i="2" s="1"/>
  <c r="AD17" i="2" s="1"/>
  <c r="Q17" i="2"/>
  <c r="L17" i="2"/>
  <c r="V17" i="2" s="1"/>
  <c r="Y17" i="2" l="1"/>
  <c r="AC17" i="2" s="1"/>
  <c r="R17" i="2"/>
  <c r="AG17" i="2" l="1"/>
  <c r="N16" i="2"/>
  <c r="N9" i="2"/>
  <c r="N20" i="2"/>
  <c r="N26" i="2" s="1"/>
  <c r="N22" i="2"/>
  <c r="N24" i="2" s="1"/>
  <c r="M16" i="2"/>
  <c r="P27" i="2" s="1"/>
  <c r="M9" i="2"/>
  <c r="M20" i="2"/>
  <c r="M26" i="2" s="1"/>
  <c r="M22" i="2"/>
  <c r="M24" i="2" s="1"/>
  <c r="N30" i="2" l="1"/>
  <c r="N35" i="2" s="1"/>
  <c r="M7" i="20"/>
  <c r="P3" i="31" s="1"/>
  <c r="Q4" i="31" s="1"/>
  <c r="M30" i="2"/>
  <c r="M35" i="2" s="1"/>
  <c r="N7" i="20"/>
  <c r="N25" i="2"/>
  <c r="M25" i="2"/>
  <c r="O27" i="2"/>
  <c r="Q27" i="2"/>
  <c r="R27" i="2" s="1"/>
  <c r="O26" i="2"/>
  <c r="W26" i="2" s="1"/>
  <c r="Z26" i="2" s="1"/>
  <c r="AD26" i="2" s="1"/>
  <c r="O24" i="2"/>
  <c r="W24" i="2" s="1"/>
  <c r="Z24" i="2" s="1"/>
  <c r="Q6" i="31" l="1"/>
  <c r="Q5" i="31"/>
  <c r="R4" i="31"/>
  <c r="R5" i="31"/>
  <c r="V7" i="20"/>
  <c r="W27" i="2"/>
  <c r="Z27" i="2" s="1"/>
  <c r="AD27" i="2" s="1"/>
  <c r="AG26" i="2"/>
  <c r="I16" i="29"/>
  <c r="P7" i="20"/>
  <c r="Q7" i="20"/>
  <c r="O7" i="20"/>
  <c r="O30" i="2"/>
  <c r="N10" i="20"/>
  <c r="M10" i="20"/>
  <c r="L16" i="29" l="1"/>
  <c r="AG27" i="2"/>
  <c r="L17" i="29" s="1"/>
  <c r="I17" i="29"/>
  <c r="Z7" i="20"/>
  <c r="AD7" i="20" s="1"/>
  <c r="AI7" i="20" s="1"/>
  <c r="I19" i="29" s="1"/>
  <c r="U3" i="31"/>
  <c r="R7" i="20"/>
  <c r="O10" i="20"/>
  <c r="V48" i="3"/>
  <c r="T47" i="3"/>
  <c r="S47" i="3"/>
  <c r="R47" i="3"/>
  <c r="Q47" i="3"/>
  <c r="P47" i="3"/>
  <c r="T52" i="3"/>
  <c r="AL7" i="20" l="1"/>
  <c r="L19" i="29" s="1"/>
  <c r="L22" i="1" l="1"/>
  <c r="L29" i="1"/>
  <c r="L6" i="1"/>
  <c r="L7" i="1"/>
  <c r="L34" i="1"/>
  <c r="L12" i="1"/>
  <c r="L5" i="1"/>
  <c r="L21" i="1"/>
  <c r="AB5" i="2" l="1"/>
  <c r="F25" i="2"/>
  <c r="F14" i="2"/>
  <c r="F15" i="2"/>
  <c r="F22" i="2"/>
  <c r="AB10" i="2"/>
  <c r="F20" i="2"/>
  <c r="F5" i="2"/>
  <c r="F6" i="2"/>
  <c r="AB6" i="2"/>
  <c r="F19" i="2"/>
  <c r="F16" i="2"/>
  <c r="F17" i="2"/>
  <c r="L7" i="22" l="1"/>
  <c r="L14" i="22" s="1"/>
  <c r="L17" i="22" s="1"/>
  <c r="AB16" i="2"/>
  <c r="AB9" i="2"/>
  <c r="AB19" i="2"/>
  <c r="AB20" i="2"/>
  <c r="P9" i="2"/>
  <c r="H7" i="22" l="1"/>
  <c r="L10" i="22"/>
  <c r="Q7" i="22"/>
  <c r="R7" i="22"/>
  <c r="P25" i="2"/>
  <c r="L25" i="2"/>
  <c r="Q25" i="2"/>
  <c r="O25" i="2"/>
  <c r="O16" i="2"/>
  <c r="P15" i="2"/>
  <c r="P22" i="2"/>
  <c r="O10" i="2"/>
  <c r="P19" i="2"/>
  <c r="Q19" i="2"/>
  <c r="P5" i="2"/>
  <c r="O20" i="2"/>
  <c r="Q20" i="2"/>
  <c r="L20" i="2"/>
  <c r="O7" i="2"/>
  <c r="W7" i="2" s="1"/>
  <c r="L7" i="2"/>
  <c r="V7" i="2" s="1"/>
  <c r="Q7" i="2"/>
  <c r="L9" i="2"/>
  <c r="Q9" i="2"/>
  <c r="Q5" i="2"/>
  <c r="P16" i="2"/>
  <c r="P7" i="2"/>
  <c r="P6" i="2"/>
  <c r="L12" i="2"/>
  <c r="V12" i="2" s="1"/>
  <c r="Q12" i="2"/>
  <c r="R12" i="2" s="1"/>
  <c r="O9" i="2"/>
  <c r="Q22" i="2"/>
  <c r="L22" i="2"/>
  <c r="Q16" i="2"/>
  <c r="Y16" i="2"/>
  <c r="Q15" i="2"/>
  <c r="Z14" i="2"/>
  <c r="AD14" i="2" s="1"/>
  <c r="AG14" i="2" s="1"/>
  <c r="P14" i="2"/>
  <c r="L10" i="2"/>
  <c r="V10" i="2" s="1"/>
  <c r="Q10" i="2"/>
  <c r="Q6" i="2"/>
  <c r="L6" i="2"/>
  <c r="P10" i="2"/>
  <c r="P20" i="2"/>
  <c r="O22" i="2"/>
  <c r="Q14" i="2"/>
  <c r="O6" i="2"/>
  <c r="O15" i="2"/>
  <c r="R10" i="22" l="1"/>
  <c r="R14" i="22"/>
  <c r="R17" i="22" s="1"/>
  <c r="Q10" i="22"/>
  <c r="Q14" i="22"/>
  <c r="Q17" i="22" s="1"/>
  <c r="H10" i="22"/>
  <c r="H14" i="22"/>
  <c r="H17" i="22" s="1"/>
  <c r="I10" i="22"/>
  <c r="I14" i="22"/>
  <c r="I17" i="22" s="1"/>
  <c r="W6" i="2"/>
  <c r="Z6" i="2" s="1"/>
  <c r="W9" i="2"/>
  <c r="Z9" i="2" s="1"/>
  <c r="V15" i="2"/>
  <c r="Y15" i="2" s="1"/>
  <c r="V9" i="2"/>
  <c r="Y9" i="2" s="1"/>
  <c r="W15" i="2"/>
  <c r="Z15" i="2" s="1"/>
  <c r="V19" i="2"/>
  <c r="Y19" i="2" s="1"/>
  <c r="W22" i="2"/>
  <c r="Z22" i="2" s="1"/>
  <c r="AD22" i="2" s="1"/>
  <c r="AD24" i="2" s="1"/>
  <c r="I14" i="29" s="1"/>
  <c r="Y7" i="2"/>
  <c r="AC7" i="2" s="1"/>
  <c r="V22" i="2"/>
  <c r="Y22" i="2" s="1"/>
  <c r="AC22" i="2" s="1"/>
  <c r="W20" i="2"/>
  <c r="Z20" i="2" s="1"/>
  <c r="W5" i="2"/>
  <c r="Z5" i="2" s="1"/>
  <c r="Z7" i="2"/>
  <c r="AD7" i="2" s="1"/>
  <c r="W10" i="2"/>
  <c r="Z10" i="2" s="1"/>
  <c r="W16" i="2"/>
  <c r="Z16" i="2" s="1"/>
  <c r="AD16" i="2" s="1"/>
  <c r="I12" i="29" s="1"/>
  <c r="V6" i="2"/>
  <c r="Y6" i="2" s="1"/>
  <c r="W12" i="2"/>
  <c r="Z12" i="2" s="1"/>
  <c r="AD12" i="2" s="1"/>
  <c r="I9" i="29" s="1"/>
  <c r="V20" i="2"/>
  <c r="Y20" i="2" s="1"/>
  <c r="V25" i="2"/>
  <c r="Y25" i="2" s="1"/>
  <c r="W19" i="2"/>
  <c r="Z19" i="2" s="1"/>
  <c r="W25" i="2"/>
  <c r="Z25" i="2" s="1"/>
  <c r="K7" i="22"/>
  <c r="P8" i="31" s="1"/>
  <c r="Y10" i="2"/>
  <c r="AC10" i="2" s="1"/>
  <c r="J7" i="22"/>
  <c r="W7" i="22" s="1"/>
  <c r="AA7" i="22" s="1"/>
  <c r="AF7" i="22" s="1"/>
  <c r="H21" i="29" s="1"/>
  <c r="O7" i="22"/>
  <c r="Y12" i="2"/>
  <c r="AC12" i="2" s="1"/>
  <c r="H9" i="29" s="1"/>
  <c r="S7" i="22"/>
  <c r="Y7" i="22" s="1"/>
  <c r="U30" i="2"/>
  <c r="R25" i="2"/>
  <c r="P30" i="2"/>
  <c r="Q30" i="2"/>
  <c r="R9" i="2"/>
  <c r="R22" i="2"/>
  <c r="R19" i="2"/>
  <c r="R16" i="2"/>
  <c r="R5" i="2"/>
  <c r="R10" i="2"/>
  <c r="R20" i="2"/>
  <c r="R14" i="2"/>
  <c r="R15" i="2"/>
  <c r="R6" i="2"/>
  <c r="R7" i="2"/>
  <c r="AC24" i="2" l="1"/>
  <c r="H14" i="29" s="1"/>
  <c r="Q11" i="31"/>
  <c r="Q17" i="31" s="1"/>
  <c r="R9" i="31"/>
  <c r="R15" i="31" s="1"/>
  <c r="R10" i="31"/>
  <c r="R16" i="31" s="1"/>
  <c r="Q10" i="31"/>
  <c r="Q16" i="31" s="1"/>
  <c r="Q9" i="31"/>
  <c r="Q15" i="31" s="1"/>
  <c r="J17" i="22"/>
  <c r="AA17" i="22" s="1"/>
  <c r="S17" i="22"/>
  <c r="AC17" i="22"/>
  <c r="S10" i="22"/>
  <c r="AC10" i="22" s="1"/>
  <c r="J10" i="22"/>
  <c r="AA10" i="22" s="1"/>
  <c r="S14" i="22"/>
  <c r="Y14" i="22" s="1"/>
  <c r="AC14" i="22" s="1"/>
  <c r="AH14" i="22" s="1"/>
  <c r="J20" i="29" s="1"/>
  <c r="K10" i="22"/>
  <c r="M10" i="22" s="1"/>
  <c r="X10" i="22" s="1"/>
  <c r="AB10" i="22" s="1"/>
  <c r="K14" i="22"/>
  <c r="J14" i="22"/>
  <c r="W14" i="22" s="1"/>
  <c r="AA14" i="22" s="1"/>
  <c r="AF14" i="22" s="1"/>
  <c r="H20" i="29" s="1"/>
  <c r="O14" i="22"/>
  <c r="N7" i="22"/>
  <c r="P7" i="22" s="1"/>
  <c r="M7" i="22"/>
  <c r="X7" i="22" s="1"/>
  <c r="AC7" i="22"/>
  <c r="AH7" i="22" s="1"/>
  <c r="J21" i="29" s="1"/>
  <c r="J5" i="1"/>
  <c r="AA17" i="31" l="1"/>
  <c r="T14" i="22"/>
  <c r="T17" i="22" s="1"/>
  <c r="T7" i="22"/>
  <c r="T10" i="22" s="1"/>
  <c r="M14" i="22"/>
  <c r="X14" i="22" s="1"/>
  <c r="AB14" i="22" s="1"/>
  <c r="AG14" i="22" s="1"/>
  <c r="I20" i="29" s="1"/>
  <c r="K17" i="22"/>
  <c r="M17" i="22" s="1"/>
  <c r="N14" i="22"/>
  <c r="P14" i="22" s="1"/>
  <c r="AG10" i="22"/>
  <c r="AB7" i="22"/>
  <c r="AG7" i="22" s="1"/>
  <c r="I21" i="29" s="1"/>
  <c r="AC56" i="3"/>
  <c r="AB56" i="3"/>
  <c r="AA56" i="3"/>
  <c r="T56" i="3"/>
  <c r="S56" i="3"/>
  <c r="R56" i="3"/>
  <c r="Q56" i="3"/>
  <c r="P56" i="3"/>
  <c r="O56" i="3"/>
  <c r="Q52" i="3"/>
  <c r="X17" i="22" l="1"/>
  <c r="AB17" i="22" s="1"/>
  <c r="AG17" i="22" s="1"/>
  <c r="AJ14" i="22"/>
  <c r="L20" i="29" s="1"/>
  <c r="AJ7" i="22"/>
  <c r="L21" i="29" s="1"/>
  <c r="AD57" i="3"/>
  <c r="AH17" i="22" l="1"/>
  <c r="AF17" i="22"/>
  <c r="V57" i="3"/>
  <c r="AJ17" i="22" l="1"/>
  <c r="AL17" i="22" s="1"/>
  <c r="U20" i="2"/>
  <c r="U9" i="2"/>
  <c r="X12" i="2"/>
  <c r="U5" i="2"/>
  <c r="U7" i="2"/>
  <c r="X7" i="2" s="1"/>
  <c r="U10" i="2"/>
  <c r="AA22" i="2"/>
  <c r="AE22" i="2" s="1"/>
  <c r="AE24" i="2" l="1"/>
  <c r="J14" i="29" s="1"/>
  <c r="AG22" i="2"/>
  <c r="L14" i="29" s="1"/>
  <c r="X10" i="2"/>
  <c r="AA10" i="2" s="1"/>
  <c r="AA7" i="2"/>
  <c r="AE7" i="2" s="1"/>
  <c r="X5" i="2"/>
  <c r="AA5" i="2" s="1"/>
  <c r="AA12" i="2"/>
  <c r="AE12" i="2" s="1"/>
  <c r="J9" i="29" s="1"/>
  <c r="X9" i="2"/>
  <c r="AA9" i="2" s="1"/>
  <c r="X16" i="2"/>
  <c r="AA16" i="2" s="1"/>
  <c r="X20" i="2"/>
  <c r="AA20" i="2" s="1"/>
  <c r="U25" i="2"/>
  <c r="X25" i="2" l="1"/>
  <c r="AA25" i="2" s="1"/>
  <c r="U15" i="2"/>
  <c r="U19" i="2"/>
  <c r="X19" i="2" s="1"/>
  <c r="AA19" i="2" s="1"/>
  <c r="AE19" i="2" s="1"/>
  <c r="X15" i="2" l="1"/>
  <c r="AA15" i="2" s="1"/>
  <c r="E57" i="3" l="1"/>
  <c r="J39" i="1"/>
  <c r="J10" i="1"/>
  <c r="AE25" i="2" l="1"/>
  <c r="J15" i="29" s="1"/>
  <c r="AC25" i="2"/>
  <c r="H15" i="29" s="1"/>
  <c r="AD25" i="2"/>
  <c r="I15" i="29" s="1"/>
  <c r="AC5" i="2"/>
  <c r="H5" i="29" s="1"/>
  <c r="AC6" i="2"/>
  <c r="H6" i="29" s="1"/>
  <c r="H8" i="29"/>
  <c r="AC20" i="2"/>
  <c r="AC9" i="2"/>
  <c r="H7" i="29" s="1"/>
  <c r="AD6" i="2"/>
  <c r="I6" i="29" s="1"/>
  <c r="AD20" i="2"/>
  <c r="AD9" i="2"/>
  <c r="I7" i="29" s="1"/>
  <c r="AD5" i="2"/>
  <c r="I5" i="29" s="1"/>
  <c r="AD10" i="2"/>
  <c r="I8" i="29" s="1"/>
  <c r="AE10" i="2"/>
  <c r="J8" i="29" s="1"/>
  <c r="AE20" i="2"/>
  <c r="AE5" i="2"/>
  <c r="J5" i="29" s="1"/>
  <c r="AE9" i="2"/>
  <c r="AE6" i="2"/>
  <c r="J6" i="29" s="1"/>
  <c r="AF30" i="2" l="1"/>
  <c r="J7" i="29"/>
  <c r="AG5" i="2"/>
  <c r="L5" i="29" s="1"/>
  <c r="AG7" i="2"/>
  <c r="AG6" i="2"/>
  <c r="L6" i="29" s="1"/>
  <c r="AG12" i="2"/>
  <c r="AG9" i="2"/>
  <c r="L7" i="29" s="1"/>
  <c r="AG20" i="2"/>
  <c r="AG10" i="2"/>
  <c r="L8" i="29" s="1"/>
  <c r="AG25" i="2"/>
  <c r="L15" i="29" s="1"/>
  <c r="L9" i="29" l="1"/>
  <c r="AE16" i="2"/>
  <c r="J12" i="29" s="1"/>
  <c r="AC16" i="2" l="1"/>
  <c r="AG16" i="2" l="1"/>
  <c r="L12" i="29" s="1"/>
  <c r="H12" i="29"/>
  <c r="AD19" i="2"/>
  <c r="AC19" i="2"/>
  <c r="AG19" i="2" l="1"/>
  <c r="R30" i="2" l="1"/>
  <c r="V53" i="3" l="1"/>
  <c r="S52" i="3"/>
  <c r="P52" i="3"/>
  <c r="R52" i="3"/>
  <c r="AB15" i="2" l="1"/>
  <c r="AC15" i="2" l="1"/>
  <c r="AB30" i="2"/>
  <c r="AE15" i="2"/>
  <c r="AD15" i="2"/>
  <c r="AE30" i="2" l="1"/>
  <c r="J11" i="29"/>
  <c r="AD30" i="2"/>
  <c r="I11" i="29"/>
  <c r="AC30" i="2"/>
  <c r="H11" i="29"/>
  <c r="AG15" i="2"/>
  <c r="L11" i="29" l="1"/>
  <c r="L31" i="29" s="1"/>
  <c r="AG30" i="2"/>
  <c r="AH10" i="22"/>
  <c r="AF10" i="22"/>
  <c r="AJ10" i="22" l="1"/>
  <c r="AL10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Erika Guzman</author>
  </authors>
  <commentList>
    <comment ref="O46" authorId="0" shapeId="0" xr:uid="{9B28C004-F64C-4D57-8245-37DAEF676944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P46" authorId="0" shapeId="0" xr:uid="{447C38FD-3A11-4F2E-AA27-773FF88881F8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Q46" authorId="0" shapeId="0" xr:uid="{82E6B040-2895-4C4D-B895-3A7DFF2AC688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R46" authorId="0" shapeId="0" xr:uid="{EB56642A-DF5D-4829-97F2-19D1AFFA63DB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S46" authorId="0" shapeId="0" xr:uid="{DE3D98D6-91F8-44B2-AF7B-80F8273DBD38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recaudos del mes</t>
        </r>
      </text>
    </comment>
    <comment ref="T46" authorId="0" shapeId="0" xr:uid="{45A38F1D-C20A-4B4A-BD16-7D602596D5B9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recaudos del mes</t>
        </r>
      </text>
    </comment>
    <comment ref="O51" authorId="0" shapeId="0" xr:uid="{9920EC8D-5261-4C47-B2E5-4D04D1444224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P51" authorId="0" shapeId="0" xr:uid="{AD9B5521-838A-473A-B0D0-E6CD9A675B2B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Q51" authorId="0" shapeId="0" xr:uid="{69783E4B-6D1E-4E94-BA7C-C7C501A0CCEC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R51" authorId="0" shapeId="0" xr:uid="{12063AF2-11A8-4469-BC19-7C3EEF78D835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S51" authorId="0" shapeId="0" xr:uid="{B771EBDA-A537-4165-9462-4F06EC3C018D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recaudos del mes</t>
        </r>
      </text>
    </comment>
    <comment ref="T51" authorId="0" shapeId="0" xr:uid="{50EBB6CA-9B42-4A0D-AF9B-4EA201A198C6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recaudos del mes</t>
        </r>
      </text>
    </comment>
    <comment ref="O55" authorId="0" shapeId="0" xr:uid="{3BEDB971-524E-42C9-846C-583017AC4A82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P55" authorId="0" shapeId="0" xr:uid="{E9E59DDB-9460-4F5D-A647-25905336804A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Q55" authorId="0" shapeId="0" xr:uid="{1633B251-2EC1-41CA-B3AC-FDF5F5346352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R55" authorId="0" shapeId="0" xr:uid="{5FFA429F-9EDF-4CB0-AECF-A7E5C5FBFC0B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S55" authorId="0" shapeId="0" xr:uid="{5882C462-B508-45CF-8879-DF08E646E584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recaudos del mes</t>
        </r>
      </text>
    </comment>
    <comment ref="T55" authorId="0" shapeId="0" xr:uid="{7E15E9A5-EFB3-4F0F-B76F-B594CD34601B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recaudos del mes</t>
        </r>
      </text>
    </comment>
    <comment ref="Y55" authorId="0" shapeId="0" xr:uid="{E0A8E2CB-2B66-4B24-97D5-A5F4772880DB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Z55" authorId="0" shapeId="0" xr:uid="{B864618F-C070-4A4B-BA1F-6AB7DD25A379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AA55" authorId="0" shapeId="0" xr:uid="{9D24DE4C-D4B8-4926-9654-89DA385EBAD0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AB55" authorId="0" shapeId="0" xr:uid="{CC80BCBA-AD8A-469C-B6A0-73A451329847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cajas vendidas</t>
        </r>
      </text>
    </comment>
    <comment ref="AC55" authorId="0" shapeId="0" xr:uid="{2675FD0E-3758-46CB-9DB3-766567313090}">
      <text>
        <r>
          <rPr>
            <b/>
            <sz val="9"/>
            <color indexed="81"/>
            <rFont val="Tahoma"/>
            <family val="2"/>
          </rPr>
          <t>Erika Guzman:</t>
        </r>
        <r>
          <rPr>
            <sz val="9"/>
            <color indexed="81"/>
            <rFont val="Tahoma"/>
            <family val="2"/>
          </rPr>
          <t xml:space="preserve">
Cumplimiento en Objetivo de recaudos del mes</t>
        </r>
      </text>
    </comment>
  </commentList>
</comments>
</file>

<file path=xl/sharedStrings.xml><?xml version="1.0" encoding="utf-8"?>
<sst xmlns="http://schemas.openxmlformats.org/spreadsheetml/2006/main" count="1653" uniqueCount="1080">
  <si>
    <t>CEDULA</t>
  </si>
  <si>
    <t>INDUSTRIA</t>
  </si>
  <si>
    <t>Nombre vendedor</t>
  </si>
  <si>
    <t>Obj.</t>
  </si>
  <si>
    <t>RECAUDOS</t>
  </si>
  <si>
    <t>Real</t>
  </si>
  <si>
    <t>VENTAS</t>
  </si>
  <si>
    <t>% Cpto</t>
  </si>
  <si>
    <t>% VARIABLE</t>
  </si>
  <si>
    <t>Cedula</t>
  </si>
  <si>
    <t>%</t>
  </si>
  <si>
    <t>79,99% o &lt;</t>
  </si>
  <si>
    <t>De acuerdo al cumplimiento</t>
  </si>
  <si>
    <t>ACELERADOR
DE
CUMPLIENTO</t>
  </si>
  <si>
    <t>*El valor a pagar de cada variable se definirá de acuerdo a un acelerador de cumplimiento</t>
  </si>
  <si>
    <t>TOTAL</t>
  </si>
  <si>
    <t>% ACELERADOR</t>
  </si>
  <si>
    <t>$ VARIABLE</t>
  </si>
  <si>
    <t>$$</t>
  </si>
  <si>
    <t>JEFE DE VENTAS</t>
  </si>
  <si>
    <t>VALOR TOTAL VARIABLE MES</t>
  </si>
  <si>
    <t>CLIENTES NUEVOS</t>
  </si>
  <si>
    <t>NOMBRE ACTUAL</t>
  </si>
  <si>
    <t>SALARIO FIJO</t>
  </si>
  <si>
    <t>SALARIO VARIABLE</t>
  </si>
  <si>
    <t>REGIONAL</t>
  </si>
  <si>
    <t>2101</t>
  </si>
  <si>
    <t>2102</t>
  </si>
  <si>
    <t>2103</t>
  </si>
  <si>
    <t>Vacante</t>
  </si>
  <si>
    <t>2104</t>
  </si>
  <si>
    <t>2105</t>
  </si>
  <si>
    <t>1501</t>
  </si>
  <si>
    <t>SUR ORIENTE</t>
  </si>
  <si>
    <t>1401</t>
  </si>
  <si>
    <t>1402</t>
  </si>
  <si>
    <t>1403</t>
  </si>
  <si>
    <t>1404</t>
  </si>
  <si>
    <t>1406</t>
  </si>
  <si>
    <t>BOGOTA CONSUMO</t>
  </si>
  <si>
    <t>1301</t>
  </si>
  <si>
    <t>1302</t>
  </si>
  <si>
    <t>1303</t>
  </si>
  <si>
    <t>1304</t>
  </si>
  <si>
    <t>1305</t>
  </si>
  <si>
    <t>1306</t>
  </si>
  <si>
    <t>1307</t>
  </si>
  <si>
    <t>1308</t>
  </si>
  <si>
    <t>NACIONAL</t>
  </si>
  <si>
    <t>1601</t>
  </si>
  <si>
    <t>Duquesa</t>
  </si>
  <si>
    <t>1602</t>
  </si>
  <si>
    <t>Cartera</t>
  </si>
  <si>
    <t>NORTE</t>
  </si>
  <si>
    <t>1202</t>
  </si>
  <si>
    <t>1203</t>
  </si>
  <si>
    <t>SUR OCCIDENTE</t>
  </si>
  <si>
    <t>1101</t>
  </si>
  <si>
    <t>1102</t>
  </si>
  <si>
    <t>2201</t>
  </si>
  <si>
    <t>Fabian Vargas</t>
  </si>
  <si>
    <t>TOTAL POSIBLE</t>
  </si>
  <si>
    <t>REPRESENTANTES DE VENTAS</t>
  </si>
  <si>
    <t>N/A: VACANTE</t>
  </si>
  <si>
    <t>N/A: OTROS</t>
  </si>
  <si>
    <t>Regional</t>
  </si>
  <si>
    <t>Cod. Vend</t>
  </si>
  <si>
    <t>COD.VEND (ZONA)</t>
  </si>
  <si>
    <t>NOMBRE VENDEDOR</t>
  </si>
  <si>
    <t>Total general</t>
  </si>
  <si>
    <t xml:space="preserve">% DE RECAUDO </t>
  </si>
  <si>
    <t>VARIABLES
JEFES DE VENTA</t>
  </si>
  <si>
    <t>VARIABLES
REPRESENTANTES DE VENTA</t>
  </si>
  <si>
    <t>ACEITES</t>
  </si>
  <si>
    <t>MARGARINAS</t>
  </si>
  <si>
    <t>VENTAS EN VALORES $$</t>
  </si>
  <si>
    <t>N OTROS PT</t>
  </si>
  <si>
    <t>CASTIGO</t>
  </si>
  <si>
    <t>FECHA DE INGRESO</t>
  </si>
  <si>
    <t>VENTAS ACEI Y OTR (KL)</t>
  </si>
  <si>
    <t>VENTAS MARGAR (KL)</t>
  </si>
  <si>
    <t>VENTAS ACEI Y OTR $$</t>
  </si>
  <si>
    <t>VENTAS MARGAR $$</t>
  </si>
  <si>
    <t>UTILIDAD BRUTA</t>
  </si>
  <si>
    <t>PARA QUIENES NO APLICAN A CLIENTES NUEVOS</t>
  </si>
  <si>
    <t>VARIABLES
REPRESENTANTES DE VENTA TIPO A</t>
  </si>
  <si>
    <t>VARIABLES
REPRESENTANTES DE VENTA TIPO B</t>
  </si>
  <si>
    <t>CADENAS NACIONALES</t>
  </si>
  <si>
    <t>ANTIOQUIA</t>
  </si>
  <si>
    <t>2301</t>
  </si>
  <si>
    <t>2302</t>
  </si>
  <si>
    <t>N/A: TRADER</t>
  </si>
  <si>
    <t>2303</t>
  </si>
  <si>
    <t xml:space="preserve">CUMPLIMIENTO </t>
  </si>
  <si>
    <t>JVORI</t>
  </si>
  <si>
    <t>JVBGA</t>
  </si>
  <si>
    <t>AJUSTES</t>
  </si>
  <si>
    <t>Etiquetas de fila</t>
  </si>
  <si>
    <t>DIAS</t>
  </si>
  <si>
    <t>LILIANA LOPEZ</t>
  </si>
  <si>
    <t>DIRECTOR COMERCIAL</t>
  </si>
  <si>
    <t>DC</t>
  </si>
  <si>
    <t>COMPAÑÍA</t>
  </si>
  <si>
    <t>VARIABLES
DIRECTOR COMERCIAL</t>
  </si>
  <si>
    <t>2202</t>
  </si>
  <si>
    <t>GLORIA BARRAGAN</t>
  </si>
  <si>
    <t>LICITACIONES</t>
  </si>
  <si>
    <t>ALVARADO GUERRERO DORIS</t>
  </si>
  <si>
    <t>DUQUESA</t>
  </si>
  <si>
    <t>QUICENO BARRERA YURLEY ROCIO</t>
  </si>
  <si>
    <t>VACANTE</t>
  </si>
  <si>
    <t>SIRLEY LOPEZ</t>
  </si>
  <si>
    <t xml:space="preserve">RECAUDO </t>
  </si>
  <si>
    <t>Licitaciones</t>
  </si>
  <si>
    <t>-</t>
  </si>
  <si>
    <t xml:space="preserve">ALVARADO GUERRERO DORIS            </t>
  </si>
  <si>
    <t xml:space="preserve">BORIS RUBIANO                      </t>
  </si>
  <si>
    <t xml:space="preserve">FABIAN VARGAS                      </t>
  </si>
  <si>
    <t xml:space="preserve">GLORIA BARRAGAN                    </t>
  </si>
  <si>
    <t xml:space="preserve">LICITACIONES                       </t>
  </si>
  <si>
    <t xml:space="preserve">LILIANA LOPEZ                      </t>
  </si>
  <si>
    <t xml:space="preserve">QUICENO BARRERA YURLEY ROCIO       </t>
  </si>
  <si>
    <t xml:space="preserve">SIRLEY LOPEZ                       </t>
  </si>
  <si>
    <t>MARGARINAS ($$)</t>
  </si>
  <si>
    <t>ACEITE ($$)</t>
  </si>
  <si>
    <t xml:space="preserve">ACEITES </t>
  </si>
  <si>
    <t>COD. INTERNO</t>
  </si>
  <si>
    <t>MARGARINA ($$)</t>
  </si>
  <si>
    <t>TIPO</t>
  </si>
  <si>
    <t>SUP.</t>
  </si>
  <si>
    <t>R.V</t>
  </si>
  <si>
    <t>J.V</t>
  </si>
  <si>
    <t>D.C</t>
  </si>
  <si>
    <t>ACEITES ($$)</t>
  </si>
  <si>
    <t>RECAUDO ($$)</t>
  </si>
  <si>
    <t xml:space="preserve">SUPERVISOR </t>
  </si>
  <si>
    <t>REPRESENTANTE VENTAS</t>
  </si>
  <si>
    <t>VARIABLE</t>
  </si>
  <si>
    <t>EJECUCIÓN</t>
  </si>
  <si>
    <t>EQUIVALENCIA</t>
  </si>
  <si>
    <t>Proy.</t>
  </si>
  <si>
    <t xml:space="preserve"> CAJAS PROYEC.</t>
  </si>
  <si>
    <t>ACET.</t>
  </si>
  <si>
    <t>MARG.</t>
  </si>
  <si>
    <t>REC.</t>
  </si>
  <si>
    <t>RECAUDO</t>
  </si>
  <si>
    <t>CAJAS 2020</t>
  </si>
  <si>
    <t>2020 MILL.</t>
  </si>
  <si>
    <t>BOGOTA MARGARINAS</t>
  </si>
  <si>
    <t>BOGOTA MAYORISTA CONSUMO</t>
  </si>
  <si>
    <t xml:space="preserve">CRISTIAN HERNANDEZ                 </t>
  </si>
  <si>
    <t>SUPNAC.</t>
  </si>
  <si>
    <t>MARYSOL</t>
  </si>
  <si>
    <t>2X1</t>
  </si>
  <si>
    <t>3X1</t>
  </si>
  <si>
    <t>LOS MARTINEZ</t>
  </si>
  <si>
    <t>el techo es el 190% en la equivalencia</t>
  </si>
  <si>
    <t>Equipo comercial</t>
  </si>
  <si>
    <t>MAURICIO RIVEROS CORTES</t>
  </si>
  <si>
    <t>SIN FABIAN</t>
  </si>
  <si>
    <t>Directos comercial</t>
  </si>
  <si>
    <t>Modalidad</t>
  </si>
  <si>
    <t>BARRAGAN RAMIREZ GLORIA ASTRID</t>
  </si>
  <si>
    <t xml:space="preserve">LOPEZ OSPINA LILIANA </t>
  </si>
  <si>
    <t>RUBIANO ZIPACON BORIS RENE</t>
  </si>
  <si>
    <t>HERNANDEZ NEIRA CHRISTIAN CAMILO</t>
  </si>
  <si>
    <t>LOPEZ LOPEZ MARTHA SIRLEY</t>
  </si>
  <si>
    <t>RIVEROS TORRES CESAR ARIEL</t>
  </si>
  <si>
    <t>SEGURA CAMACHO MARYSOL</t>
  </si>
  <si>
    <t>ALVARADO GUERRERO  DORIS</t>
  </si>
  <si>
    <t>FONTECHA GONZALEZ HERNANDO</t>
  </si>
  <si>
    <t>Directo</t>
  </si>
  <si>
    <t>Observaciones</t>
  </si>
  <si>
    <t>1405</t>
  </si>
  <si>
    <t>SANDRA</t>
  </si>
  <si>
    <t>SUR ORIENTE (CONSUMO)</t>
  </si>
  <si>
    <t>SUR ORIENTE (PANADERIA)</t>
  </si>
  <si>
    <t>VENTAS EN $ (MM)</t>
  </si>
  <si>
    <t>BOGOTA CONS./MAY.</t>
  </si>
  <si>
    <t xml:space="preserve">YUDIEN SEGURO                      </t>
  </si>
  <si>
    <t>HERNANDO FONTECHA</t>
  </si>
  <si>
    <t>G.C</t>
  </si>
  <si>
    <t>Cod. V.</t>
  </si>
  <si>
    <t>JVBGM</t>
  </si>
  <si>
    <t>GC</t>
  </si>
  <si>
    <t>TC</t>
  </si>
  <si>
    <t>TOTAL MES</t>
  </si>
  <si>
    <t xml:space="preserve"> MILL. PROYEC.</t>
  </si>
  <si>
    <t>UNIDAD DE NEGOCIO</t>
  </si>
  <si>
    <t>CONSUMO</t>
  </si>
  <si>
    <t>CIA</t>
  </si>
  <si>
    <t>PANADERIA</t>
  </si>
  <si>
    <t>N/A</t>
  </si>
  <si>
    <t>Unidad Negocio</t>
  </si>
  <si>
    <t>TOTAL VARIABLE</t>
  </si>
  <si>
    <t>RECAUDOS EN $ (MM)</t>
  </si>
  <si>
    <t>Jefe de Ventas</t>
  </si>
  <si>
    <t>RECAUDOS $ (MM)</t>
  </si>
  <si>
    <t>RENTABILIDAD (M.C)</t>
  </si>
  <si>
    <t>RENT.</t>
  </si>
  <si>
    <t>RENTABILIDAD</t>
  </si>
  <si>
    <t>CASTAÑO BEJARANO CARLOS ANDRÉS</t>
  </si>
  <si>
    <t>Rentabilidad real</t>
  </si>
  <si>
    <t xml:space="preserve">CESAR RIVEROS - CONSUMO                      </t>
  </si>
  <si>
    <t xml:space="preserve">CESAR RIVEROS - PANADERIA                      </t>
  </si>
  <si>
    <t>Jefe</t>
  </si>
  <si>
    <t>Canal</t>
  </si>
  <si>
    <t>Categoría</t>
  </si>
  <si>
    <t>Margen Objetivo</t>
  </si>
  <si>
    <t>Objetivo Venta</t>
  </si>
  <si>
    <t>Contribución Objetivo</t>
  </si>
  <si>
    <t>Margarina</t>
  </si>
  <si>
    <t>Aceite</t>
  </si>
  <si>
    <t>Carlos</t>
  </si>
  <si>
    <t>Cadenas</t>
  </si>
  <si>
    <t>Regiones</t>
  </si>
  <si>
    <t>Otros</t>
  </si>
  <si>
    <t>promedio últimos 3 meses</t>
  </si>
  <si>
    <t>ultimos 3 meses</t>
  </si>
  <si>
    <t>Sur Oriente: Ojo quité panadería  solo mesa y cocina</t>
  </si>
  <si>
    <t>Mes</t>
  </si>
  <si>
    <t>Cod. Ve</t>
  </si>
  <si>
    <t>SUB TOTAL</t>
  </si>
  <si>
    <t>COMENTARIOS</t>
  </si>
  <si>
    <t xml:space="preserve">Margen últimos 3 meses </t>
  </si>
  <si>
    <t>INGRID CARDOZO</t>
  </si>
  <si>
    <t>CARDOZO VILLAMIL INGRID MARYOLI</t>
  </si>
  <si>
    <t>NATALI TANGARIFE</t>
  </si>
  <si>
    <t>TANGARIFE BAUTISTA NATALI</t>
  </si>
  <si>
    <t xml:space="preserve">MARYSOL SEGURA.                    </t>
  </si>
  <si>
    <t>VACANTE MARTINEZ</t>
  </si>
  <si>
    <t xml:space="preserve">CARTERA DICIEMBRE -RECAUDO </t>
  </si>
  <si>
    <t>Sub total</t>
  </si>
  <si>
    <t>Marysol</t>
  </si>
  <si>
    <t>Bogotá Mayorista Consumo</t>
  </si>
  <si>
    <t>Bogota Consumo</t>
  </si>
  <si>
    <t xml:space="preserve">NATALI TANGARIFE                   </t>
  </si>
  <si>
    <t>ENE.</t>
  </si>
  <si>
    <t xml:space="preserve">Rango </t>
  </si>
  <si>
    <t>Bajo</t>
  </si>
  <si>
    <t>alto</t>
  </si>
  <si>
    <t>Cumpl. del variable</t>
  </si>
  <si>
    <t>mas del</t>
  </si>
  <si>
    <t>Menos de</t>
  </si>
  <si>
    <t>Jefe de venta</t>
  </si>
  <si>
    <t>PPTO ventas marg. mes</t>
  </si>
  <si>
    <t>Margen de contribución real marg.</t>
  </si>
  <si>
    <t>% cumpl. Cuota marg.</t>
  </si>
  <si>
    <t>% margen contr. Real marg.</t>
  </si>
  <si>
    <t>Minimo</t>
  </si>
  <si>
    <t>Medio</t>
  </si>
  <si>
    <t>Alto</t>
  </si>
  <si>
    <t>Temporal</t>
  </si>
  <si>
    <t>META</t>
  </si>
  <si>
    <t>REAL</t>
  </si>
  <si>
    <t>% EJEC.</t>
  </si>
  <si>
    <t>BORIS RUBIANO-PVM</t>
  </si>
  <si>
    <t>FEB</t>
  </si>
  <si>
    <t>VACANTE - FABIAN LADINO</t>
  </si>
  <si>
    <t>MAY</t>
  </si>
  <si>
    <t>Mauricio /Carlos</t>
  </si>
  <si>
    <t>CODIFICACIÓN CLIENTES</t>
  </si>
  <si>
    <t>VENTAS CAJAS</t>
  </si>
  <si>
    <t>DROP SIZE</t>
  </si>
  <si>
    <t>PREVENTA</t>
  </si>
  <si>
    <t>COD.</t>
  </si>
  <si>
    <t>VENTA</t>
  </si>
  <si>
    <t xml:space="preserve">DROP </t>
  </si>
  <si>
    <t>VENDEDOR</t>
  </si>
  <si>
    <t xml:space="preserve">BORIS RUBIANO-PVM                  </t>
  </si>
  <si>
    <t>NIT</t>
  </si>
  <si>
    <t>NOMBRE CLIENTE</t>
  </si>
  <si>
    <t>FECHAING</t>
  </si>
  <si>
    <t>Clientes codificados</t>
  </si>
  <si>
    <t>WILLIAM PEÑA</t>
  </si>
  <si>
    <t>OSCAR RODRIGUEZ</t>
  </si>
  <si>
    <t xml:space="preserve">PEÑA SERRANO WILLIAM </t>
  </si>
  <si>
    <t xml:space="preserve">RODRIGUEZ MONTAÑA OSCAR JAVIER </t>
  </si>
  <si>
    <t xml:space="preserve">COD. </t>
  </si>
  <si>
    <t>CLIENTES</t>
  </si>
  <si>
    <t>CAJAS</t>
  </si>
  <si>
    <t>COD</t>
  </si>
  <si>
    <t>DROP</t>
  </si>
  <si>
    <t>VACANTE RAMIREZ JOHNNY</t>
  </si>
  <si>
    <t xml:space="preserve">2203           </t>
  </si>
  <si>
    <t xml:space="preserve">1406 </t>
  </si>
  <si>
    <t>AGO</t>
  </si>
  <si>
    <t>2106</t>
  </si>
  <si>
    <t>E-COMMERCE</t>
  </si>
  <si>
    <t>2304</t>
  </si>
  <si>
    <t>TIENDA DUQUESA</t>
  </si>
  <si>
    <t>LINA JOHANA GONZALEZ</t>
  </si>
  <si>
    <t>1309</t>
  </si>
  <si>
    <t>ELIZABETH RIVAS PENAGOS</t>
  </si>
  <si>
    <t>PDV</t>
  </si>
  <si>
    <t>SEP</t>
  </si>
  <si>
    <t>JUL</t>
  </si>
  <si>
    <t>TOTAL BOYACÁ</t>
  </si>
  <si>
    <t>SUPCONS</t>
  </si>
  <si>
    <t>CONUMO BOGOTA</t>
  </si>
  <si>
    <t>E-commerce</t>
  </si>
  <si>
    <t>GONZALEZ LINA JOHANA</t>
  </si>
  <si>
    <t>RIVAS PENAGOS ELIZABETH</t>
  </si>
  <si>
    <t xml:space="preserve">ELIZABETH RIVAS PENAGOS         </t>
  </si>
  <si>
    <t xml:space="preserve">LINA JOHANA GONZALEZ              </t>
  </si>
  <si>
    <t>MAURICIO</t>
  </si>
  <si>
    <t>CARLOS</t>
  </si>
  <si>
    <t>Unidad</t>
  </si>
  <si>
    <t>Jefe ventas consumo</t>
  </si>
  <si>
    <t>Vta Margarina</t>
  </si>
  <si>
    <t>Vta Aceite</t>
  </si>
  <si>
    <t>Recaudo cartera</t>
  </si>
  <si>
    <t>Rentabilidad</t>
  </si>
  <si>
    <t>Dirección comercial</t>
  </si>
  <si>
    <t>Codificación clientes</t>
  </si>
  <si>
    <t>Vta Cajas</t>
  </si>
  <si>
    <t>Dropsize</t>
  </si>
  <si>
    <t>TOTAl COMISIÓN A PAGAR</t>
  </si>
  <si>
    <t>YILFER ERNESTO OCHOA TELLEZ</t>
  </si>
  <si>
    <t xml:space="preserve">VACANTE RAMIREZ TRUJILLO JOHNNY </t>
  </si>
  <si>
    <t>VACANTE FABIAN LADINO</t>
  </si>
  <si>
    <t>Total CIA</t>
  </si>
  <si>
    <t>OCHOA TELLEZ YILFER ERNESTO</t>
  </si>
  <si>
    <t>SUPPAN</t>
  </si>
  <si>
    <t>PANADERIA BTÁ</t>
  </si>
  <si>
    <t>$ Preventa</t>
  </si>
  <si>
    <t xml:space="preserve">1594      </t>
  </si>
  <si>
    <t xml:space="preserve">1595      </t>
  </si>
  <si>
    <t xml:space="preserve">1596      </t>
  </si>
  <si>
    <t xml:space="preserve">1597      </t>
  </si>
  <si>
    <t xml:space="preserve">1598      </t>
  </si>
  <si>
    <t xml:space="preserve">1600      </t>
  </si>
  <si>
    <t xml:space="preserve">1601      </t>
  </si>
  <si>
    <t xml:space="preserve">1603      </t>
  </si>
  <si>
    <t xml:space="preserve">1604      </t>
  </si>
  <si>
    <t xml:space="preserve">1605      </t>
  </si>
  <si>
    <t xml:space="preserve">1609      </t>
  </si>
  <si>
    <t xml:space="preserve">1623      </t>
  </si>
  <si>
    <t xml:space="preserve">1627      </t>
  </si>
  <si>
    <t xml:space="preserve">1628      </t>
  </si>
  <si>
    <t xml:space="preserve">1629      </t>
  </si>
  <si>
    <t xml:space="preserve">1632      </t>
  </si>
  <si>
    <t xml:space="preserve">1633      </t>
  </si>
  <si>
    <t xml:space="preserve">1636      </t>
  </si>
  <si>
    <t xml:space="preserve">1641      </t>
  </si>
  <si>
    <t xml:space="preserve">1642      </t>
  </si>
  <si>
    <t xml:space="preserve">1643      </t>
  </si>
  <si>
    <t xml:space="preserve">1644      </t>
  </si>
  <si>
    <t xml:space="preserve">1645      </t>
  </si>
  <si>
    <t xml:space="preserve">1646      </t>
  </si>
  <si>
    <t xml:space="preserve">1647      </t>
  </si>
  <si>
    <t xml:space="preserve">1648      </t>
  </si>
  <si>
    <t xml:space="preserve">1650      </t>
  </si>
  <si>
    <t xml:space="preserve">1653      </t>
  </si>
  <si>
    <t xml:space="preserve">1656      </t>
  </si>
  <si>
    <t xml:space="preserve">1658      </t>
  </si>
  <si>
    <t xml:space="preserve">1662      </t>
  </si>
  <si>
    <t xml:space="preserve">1665      </t>
  </si>
  <si>
    <t xml:space="preserve">1667      </t>
  </si>
  <si>
    <t xml:space="preserve">1675      </t>
  </si>
  <si>
    <t xml:space="preserve">1676      </t>
  </si>
  <si>
    <t xml:space="preserve">1677      </t>
  </si>
  <si>
    <t xml:space="preserve">1679      </t>
  </si>
  <si>
    <t xml:space="preserve">1681      </t>
  </si>
  <si>
    <t xml:space="preserve">1684      </t>
  </si>
  <si>
    <t xml:space="preserve">1685      </t>
  </si>
  <si>
    <t xml:space="preserve">1689      </t>
  </si>
  <si>
    <t xml:space="preserve">1690      </t>
  </si>
  <si>
    <t xml:space="preserve">1693      </t>
  </si>
  <si>
    <t xml:space="preserve">1695      </t>
  </si>
  <si>
    <t xml:space="preserve">1696      </t>
  </si>
  <si>
    <t xml:space="preserve">1697      </t>
  </si>
  <si>
    <t xml:space="preserve">1699      </t>
  </si>
  <si>
    <t xml:space="preserve">1700      </t>
  </si>
  <si>
    <t xml:space="preserve">1705      </t>
  </si>
  <si>
    <t xml:space="preserve">1706      </t>
  </si>
  <si>
    <t xml:space="preserve">1708      </t>
  </si>
  <si>
    <t xml:space="preserve">1709      </t>
  </si>
  <si>
    <t xml:space="preserve">1710      </t>
  </si>
  <si>
    <t xml:space="preserve">1714      </t>
  </si>
  <si>
    <t xml:space="preserve">1716      </t>
  </si>
  <si>
    <t xml:space="preserve">1731      </t>
  </si>
  <si>
    <t xml:space="preserve">1733      </t>
  </si>
  <si>
    <t xml:space="preserve">893       </t>
  </si>
  <si>
    <t xml:space="preserve">894       </t>
  </si>
  <si>
    <t xml:space="preserve">895       </t>
  </si>
  <si>
    <t xml:space="preserve">896       </t>
  </si>
  <si>
    <t xml:space="preserve">897       </t>
  </si>
  <si>
    <t xml:space="preserve">898       </t>
  </si>
  <si>
    <t xml:space="preserve">899       </t>
  </si>
  <si>
    <t xml:space="preserve">900       </t>
  </si>
  <si>
    <t xml:space="preserve">901       </t>
  </si>
  <si>
    <t xml:space="preserve">902       </t>
  </si>
  <si>
    <t xml:space="preserve">903       </t>
  </si>
  <si>
    <t xml:space="preserve">905       </t>
  </si>
  <si>
    <t xml:space="preserve">906       </t>
  </si>
  <si>
    <t xml:space="preserve">907       </t>
  </si>
  <si>
    <t xml:space="preserve">908       </t>
  </si>
  <si>
    <t xml:space="preserve">909       </t>
  </si>
  <si>
    <t xml:space="preserve">910       </t>
  </si>
  <si>
    <t xml:space="preserve">911       </t>
  </si>
  <si>
    <t xml:space="preserve">912       </t>
  </si>
  <si>
    <t xml:space="preserve">913       </t>
  </si>
  <si>
    <t xml:space="preserve">914       </t>
  </si>
  <si>
    <t xml:space="preserve">915       </t>
  </si>
  <si>
    <t xml:space="preserve">916       </t>
  </si>
  <si>
    <t xml:space="preserve">917       </t>
  </si>
  <si>
    <t xml:space="preserve">918       </t>
  </si>
  <si>
    <t xml:space="preserve">919       </t>
  </si>
  <si>
    <t xml:space="preserve">920       </t>
  </si>
  <si>
    <t xml:space="preserve">921       </t>
  </si>
  <si>
    <t xml:space="preserve">922       </t>
  </si>
  <si>
    <t xml:space="preserve">923       </t>
  </si>
  <si>
    <t xml:space="preserve">924       </t>
  </si>
  <si>
    <t xml:space="preserve">925       </t>
  </si>
  <si>
    <t xml:space="preserve">926       </t>
  </si>
  <si>
    <t xml:space="preserve">927       </t>
  </si>
  <si>
    <t xml:space="preserve">928       </t>
  </si>
  <si>
    <t xml:space="preserve">929       </t>
  </si>
  <si>
    <t xml:space="preserve">930       </t>
  </si>
  <si>
    <t xml:space="preserve">931       </t>
  </si>
  <si>
    <t xml:space="preserve">932       </t>
  </si>
  <si>
    <t xml:space="preserve">936       </t>
  </si>
  <si>
    <t xml:space="preserve">937       </t>
  </si>
  <si>
    <t xml:space="preserve">938       </t>
  </si>
  <si>
    <t xml:space="preserve">939       </t>
  </si>
  <si>
    <t xml:space="preserve">940       </t>
  </si>
  <si>
    <t xml:space="preserve">941       </t>
  </si>
  <si>
    <t xml:space="preserve">942       </t>
  </si>
  <si>
    <t xml:space="preserve">943       </t>
  </si>
  <si>
    <t xml:space="preserve">944       </t>
  </si>
  <si>
    <t xml:space="preserve">945       </t>
  </si>
  <si>
    <t xml:space="preserve">946       </t>
  </si>
  <si>
    <t xml:space="preserve">947       </t>
  </si>
  <si>
    <t xml:space="preserve">948       </t>
  </si>
  <si>
    <t xml:space="preserve">949       </t>
  </si>
  <si>
    <t xml:space="preserve">950       </t>
  </si>
  <si>
    <t xml:space="preserve">951       </t>
  </si>
  <si>
    <t xml:space="preserve">956       </t>
  </si>
  <si>
    <t xml:space="preserve">957       </t>
  </si>
  <si>
    <t xml:space="preserve">958       </t>
  </si>
  <si>
    <t xml:space="preserve">959       </t>
  </si>
  <si>
    <t xml:space="preserve">960       </t>
  </si>
  <si>
    <t xml:space="preserve">961       </t>
  </si>
  <si>
    <t xml:space="preserve">962       </t>
  </si>
  <si>
    <t xml:space="preserve">963       </t>
  </si>
  <si>
    <t xml:space="preserve">964       </t>
  </si>
  <si>
    <t xml:space="preserve">965       </t>
  </si>
  <si>
    <t xml:space="preserve">966       </t>
  </si>
  <si>
    <t xml:space="preserve">967       </t>
  </si>
  <si>
    <t>Restante CIA PT</t>
  </si>
  <si>
    <t>JONNATHAN SARMIENTO AGUIRRE</t>
  </si>
  <si>
    <t>YULI MARTINEZ GUERRERO</t>
  </si>
  <si>
    <t>0</t>
  </si>
  <si>
    <t>0/Ingresado por Migracion</t>
  </si>
  <si>
    <t>1310</t>
  </si>
  <si>
    <t>CESAR GONZALEZ GONZALEZ</t>
  </si>
  <si>
    <t>80020652</t>
  </si>
  <si>
    <t>AGUILAR  JIMENEZ   LUIS  CARLOS</t>
  </si>
  <si>
    <t>4208290</t>
  </si>
  <si>
    <t>BARRERA  GALLO  SENEN</t>
  </si>
  <si>
    <t>51773243</t>
  </si>
  <si>
    <t>CHAPARRO PAEZ   YOLANDA</t>
  </si>
  <si>
    <t>1053327332</t>
  </si>
  <si>
    <t>COCA   BALLEN  YEFRY  DAVIAN</t>
  </si>
  <si>
    <t>7185682</t>
  </si>
  <si>
    <t>FONSECA  PACHECO   EDWAR JOSE</t>
  </si>
  <si>
    <t>52828814</t>
  </si>
  <si>
    <t>FORERO  HAMON   GLADYS STELLA</t>
  </si>
  <si>
    <t>51735252</t>
  </si>
  <si>
    <t>GONZALEZ  ALBARRACIN  CARMEN  ROSA</t>
  </si>
  <si>
    <t>7120937</t>
  </si>
  <si>
    <t>LAITON  PASTRAN  BERNARDO</t>
  </si>
  <si>
    <t>52919001</t>
  </si>
  <si>
    <t>LEMOS  RINCON  SANDRA  MILENA</t>
  </si>
  <si>
    <t>1075655264</t>
  </si>
  <si>
    <t>LOPEZ  PINZON   IVONNE  ZAMIR</t>
  </si>
  <si>
    <t>1050220695</t>
  </si>
  <si>
    <t>LOPEZ  ROJAS   DEICI  YULIED</t>
  </si>
  <si>
    <t>52423332</t>
  </si>
  <si>
    <t>OICATA PEÑA   MARIELA</t>
  </si>
  <si>
    <t>80505950</t>
  </si>
  <si>
    <t>PARRA  MERCHAN   OSCAR ALBERTO</t>
  </si>
  <si>
    <t>1016028648</t>
  </si>
  <si>
    <t>PEREZ  MEDINA   CRISTIAN ALEJANDRO</t>
  </si>
  <si>
    <t>79433165</t>
  </si>
  <si>
    <t>POVEDA  CRUZ  ALONSO</t>
  </si>
  <si>
    <t>1016061937</t>
  </si>
  <si>
    <t>SANCHEZ  DIAZ   YECID ALONSO</t>
  </si>
  <si>
    <t>1016061937S01</t>
  </si>
  <si>
    <t>4286563</t>
  </si>
  <si>
    <t>SIERRA NOVOA   ISMAEL</t>
  </si>
  <si>
    <t>80140048</t>
  </si>
  <si>
    <t>VARGAS  AVILA   JOSE GILBERTO</t>
  </si>
  <si>
    <t>1072365612</t>
  </si>
  <si>
    <t>AGUILAR   GONZALEZ  DIEGO   ARMANDO</t>
  </si>
  <si>
    <t>74374440</t>
  </si>
  <si>
    <t>BOLIVAR  ESPITIA  ALBY</t>
  </si>
  <si>
    <t>1014182393</t>
  </si>
  <si>
    <t>CASTELBLANCO  CARRASCO  MIGUEL  ANGEL</t>
  </si>
  <si>
    <t>79165528</t>
  </si>
  <si>
    <t>CONEJO  SANCHEZ  JUAN  PABLO</t>
  </si>
  <si>
    <t>1010226942</t>
  </si>
  <si>
    <t>GONZALEZ  GAMBOA  NAZLY  DAYANA</t>
  </si>
  <si>
    <t>40050337</t>
  </si>
  <si>
    <t>HERNÁNDEZ   MORENO   NOHORA   ISABEL</t>
  </si>
  <si>
    <t>55178450</t>
  </si>
  <si>
    <t>LLANOS  PAJAJOY  MARIA  CONSUELO</t>
  </si>
  <si>
    <t>1057546968</t>
  </si>
  <si>
    <t>LOPEZ   ROJAS   WILMER  MAURICIO</t>
  </si>
  <si>
    <t>79249284</t>
  </si>
  <si>
    <t>MALDONADO   JUNCO   JOSE  MANUEL</t>
  </si>
  <si>
    <t>79686048</t>
  </si>
  <si>
    <t>OSMA  GALEANO  MIGUEL  ANGEL</t>
  </si>
  <si>
    <t>901522360-5</t>
  </si>
  <si>
    <t>PRIME BURGER S.A.S</t>
  </si>
  <si>
    <t>23945488</t>
  </si>
  <si>
    <t>RIOS   CHAPARRO  MARIA   YAQUELINE</t>
  </si>
  <si>
    <t>5790158</t>
  </si>
  <si>
    <t>SAENZ  BELTRAN  MARCO  ANTONIO</t>
  </si>
  <si>
    <t>1015443156</t>
  </si>
  <si>
    <t>VALENZUELA   QUINTERO   CARLOS   ROBERTO</t>
  </si>
  <si>
    <t>35511826</t>
  </si>
  <si>
    <t>VELOZA  HUERTAS  GLORIA</t>
  </si>
  <si>
    <t>79614532</t>
  </si>
  <si>
    <t>BALLEN  TELLEZ  MARCO  ANTONIO</t>
  </si>
  <si>
    <t>1030692843</t>
  </si>
  <si>
    <t>CARO  HURTADO  DIEGO  ALEXANDER</t>
  </si>
  <si>
    <t>79483755</t>
  </si>
  <si>
    <t>CORONADO  MONTOYA  RICARDO</t>
  </si>
  <si>
    <t>79726578</t>
  </si>
  <si>
    <t>CORTES  MEDINA  JOSE  OLINTO</t>
  </si>
  <si>
    <t>1030642833</t>
  </si>
  <si>
    <t>DEL RIO  SAEZ  WILSON  GUILLERMO</t>
  </si>
  <si>
    <t>80438230</t>
  </si>
  <si>
    <t>DURAN  SAVALA  JOSE  JAIME</t>
  </si>
  <si>
    <t>13957539</t>
  </si>
  <si>
    <t>PATIÑO  CASTILLO  GIOVANNY</t>
  </si>
  <si>
    <t>11409139</t>
  </si>
  <si>
    <t>PEÑUELA  ROJAS  JOSE  HELMER</t>
  </si>
  <si>
    <t>18263727-1</t>
  </si>
  <si>
    <t>RAMUS    HARJUNA</t>
  </si>
  <si>
    <t>1013594583</t>
  </si>
  <si>
    <t>SAEZ  RODRÍGUEZ  GIOVANNY</t>
  </si>
  <si>
    <t>80473176</t>
  </si>
  <si>
    <t>SIERRA    ORLANDO</t>
  </si>
  <si>
    <t>40328452</t>
  </si>
  <si>
    <t>TAPASCO  GALINDO  LUZ  AIDE</t>
  </si>
  <si>
    <t>80394672</t>
  </si>
  <si>
    <t>TORRES    MAIRICIO</t>
  </si>
  <si>
    <t>79384697</t>
  </si>
  <si>
    <t>TORRES  SIERRA  ALVARO</t>
  </si>
  <si>
    <t>CESAR GONZALEZ</t>
  </si>
  <si>
    <t>79839467</t>
  </si>
  <si>
    <t>APONTE   RODRÍGUEZ JOSÉ YENDY</t>
  </si>
  <si>
    <t>1031152980</t>
  </si>
  <si>
    <t>BARRETO    MAICOL</t>
  </si>
  <si>
    <t>52367166</t>
  </si>
  <si>
    <t>CARO   ELIGIO  MARTHA   PATRICIA</t>
  </si>
  <si>
    <t>1010247187</t>
  </si>
  <si>
    <t>CHAPARRO    DAVID</t>
  </si>
  <si>
    <t>53092038</t>
  </si>
  <si>
    <t>CHAPARRO   OLGA</t>
  </si>
  <si>
    <t>79993513</t>
  </si>
  <si>
    <t>NARVÁEZ  SERNA LEONARDO</t>
  </si>
  <si>
    <t>1022386986</t>
  </si>
  <si>
    <t>RINCÓN    AGUSTO</t>
  </si>
  <si>
    <t>72055091</t>
  </si>
  <si>
    <t>RODRÍGUEZ FORERO JAVIER  HERNÁN</t>
  </si>
  <si>
    <t>1051287017</t>
  </si>
  <si>
    <t>ROJAS   JEISON   FABIAN</t>
  </si>
  <si>
    <t>14780408-1</t>
  </si>
  <si>
    <t>BRISEÑO    ARGENIS</t>
  </si>
  <si>
    <t>52013439</t>
  </si>
  <si>
    <t>CAMPOS  MURCIA  JENNY</t>
  </si>
  <si>
    <t>1072719279</t>
  </si>
  <si>
    <t>CASTRO  ACOSTA  LUIZ  ANTONIO</t>
  </si>
  <si>
    <t>1075871503</t>
  </si>
  <si>
    <t>CORTEZ  AGUILAR MARIA  CRISTINA</t>
  </si>
  <si>
    <t>1030618251</t>
  </si>
  <si>
    <t>COTRINO  VELASQUEZ LUISA  MARIA</t>
  </si>
  <si>
    <t>79293504</t>
  </si>
  <si>
    <t>DEL CARMEN   BUITRAGO  JOSE</t>
  </si>
  <si>
    <t>1073174561</t>
  </si>
  <si>
    <t>DIAZ PARDO  EDWIN  EDWARDO</t>
  </si>
  <si>
    <t>5632106</t>
  </si>
  <si>
    <t>GANBOA  SUAREZ  SERAFIN</t>
  </si>
  <si>
    <t>23501737</t>
  </si>
  <si>
    <t>LOPEZ  PINEDA  ANAIDE</t>
  </si>
  <si>
    <t>1093985</t>
  </si>
  <si>
    <t>NIÑO    ARTURO</t>
  </si>
  <si>
    <t>1022407518</t>
  </si>
  <si>
    <t>ROMERO  MESA JASSEL  DANIELA</t>
  </si>
  <si>
    <t>1049602358</t>
  </si>
  <si>
    <t>SANCHEZ  CORREALES  EMILCE</t>
  </si>
  <si>
    <t>1070324327</t>
  </si>
  <si>
    <t>SANCHEZ  PRIETO  EDWIN  YESID</t>
  </si>
  <si>
    <t>4207695</t>
  </si>
  <si>
    <t>SUAREZ  CACERES  MARCO   FiDEL</t>
  </si>
  <si>
    <t>79831937</t>
  </si>
  <si>
    <t>TORO  LOPEZ  POLICARPO</t>
  </si>
  <si>
    <t>1052916255</t>
  </si>
  <si>
    <t>VELA  PIZA  HECTOR  JULIO</t>
  </si>
  <si>
    <t>80209969</t>
  </si>
  <si>
    <t>BELTRAN  PINZON  JAVIER  ALBERTO</t>
  </si>
  <si>
    <t>1104704722</t>
  </si>
  <si>
    <t>GALINDO  CASTRO  YURY  VERONICA</t>
  </si>
  <si>
    <t>1104704722S01</t>
  </si>
  <si>
    <t>79423541</t>
  </si>
  <si>
    <t>GOMEZ  CASALLAS  HERNAN</t>
  </si>
  <si>
    <t>1024511529</t>
  </si>
  <si>
    <t>GUTIÉRREZ  SERNA  EDWIN   ALEXIS</t>
  </si>
  <si>
    <t>39729742</t>
  </si>
  <si>
    <t>HERRERA  ROJAS  FLOR  ALBA</t>
  </si>
  <si>
    <t>79944707</t>
  </si>
  <si>
    <t>HURTADO  CABRERA  LUIS  GERARDO</t>
  </si>
  <si>
    <t>1012461426</t>
  </si>
  <si>
    <t>MOJICA  CASTRO  SANDRA  PATRICIA</t>
  </si>
  <si>
    <t>80739853</t>
  </si>
  <si>
    <t>MUÑOZ  MARIN JHON ALEXIS</t>
  </si>
  <si>
    <t>16137115</t>
  </si>
  <si>
    <t>MUÑOZ  NOREÑA  JOSE  HELI</t>
  </si>
  <si>
    <t>93390404</t>
  </si>
  <si>
    <t>ORTIZ  PEÑA  JUAN  ANTONIO</t>
  </si>
  <si>
    <t>1092645827</t>
  </si>
  <si>
    <t>PARADA  ACEVEDO  WILSON  ANTONIO</t>
  </si>
  <si>
    <t>1097991134</t>
  </si>
  <si>
    <t>PEÑA  AGUILAR  OMAIRA</t>
  </si>
  <si>
    <t>79715462</t>
  </si>
  <si>
    <t>QUINTERO  PAEZ  LUIS  HERNESTO</t>
  </si>
  <si>
    <t>13566389</t>
  </si>
  <si>
    <t>QUITIAN  MORENO  LUIS  ANDRES</t>
  </si>
  <si>
    <t>93373521</t>
  </si>
  <si>
    <t>RAMIREZ  PAEZ  HERNANDO</t>
  </si>
  <si>
    <t>6613241</t>
  </si>
  <si>
    <t>ROJAS  SANCHEZ  PEDRO  HERNAN</t>
  </si>
  <si>
    <t>1015433207-1</t>
  </si>
  <si>
    <t>TORRES  CUBIDES  CINDY  SUSANA</t>
  </si>
  <si>
    <t>CONSOLIDACIÓN LIQUIDACIÓN COMISIONES NOVIEMBRE</t>
  </si>
  <si>
    <t>GONZALEZ GONZALEZ CESAR ALBERTO</t>
  </si>
  <si>
    <t>Documento</t>
  </si>
  <si>
    <t xml:space="preserve">1289      </t>
  </si>
  <si>
    <t xml:space="preserve">1290      </t>
  </si>
  <si>
    <t xml:space="preserve">1291      </t>
  </si>
  <si>
    <t xml:space="preserve">1292      </t>
  </si>
  <si>
    <t xml:space="preserve">1293      </t>
  </si>
  <si>
    <t xml:space="preserve">1294      </t>
  </si>
  <si>
    <t xml:space="preserve">1295      </t>
  </si>
  <si>
    <t xml:space="preserve">1296      </t>
  </si>
  <si>
    <t xml:space="preserve">1297      </t>
  </si>
  <si>
    <t xml:space="preserve">1298      </t>
  </si>
  <si>
    <t xml:space="preserve">1299      </t>
  </si>
  <si>
    <t xml:space="preserve">1300      </t>
  </si>
  <si>
    <t xml:space="preserve">1301      </t>
  </si>
  <si>
    <t xml:space="preserve">1302      </t>
  </si>
  <si>
    <t xml:space="preserve">1303      </t>
  </si>
  <si>
    <t xml:space="preserve">1304      </t>
  </si>
  <si>
    <t xml:space="preserve">1305      </t>
  </si>
  <si>
    <t xml:space="preserve">1306      </t>
  </si>
  <si>
    <t xml:space="preserve">1307      </t>
  </si>
  <si>
    <t xml:space="preserve">1308      </t>
  </si>
  <si>
    <t xml:space="preserve">1309      </t>
  </si>
  <si>
    <t xml:space="preserve">1310      </t>
  </si>
  <si>
    <t xml:space="preserve">1311      </t>
  </si>
  <si>
    <t xml:space="preserve">1312      </t>
  </si>
  <si>
    <t xml:space="preserve">1313      </t>
  </si>
  <si>
    <t xml:space="preserve">1314      </t>
  </si>
  <si>
    <t xml:space="preserve">1315      </t>
  </si>
  <si>
    <t xml:space="preserve">1316      </t>
  </si>
  <si>
    <t xml:space="preserve">1317      </t>
  </si>
  <si>
    <t xml:space="preserve">1318      </t>
  </si>
  <si>
    <t xml:space="preserve">1319      </t>
  </si>
  <si>
    <t xml:space="preserve">1320      </t>
  </si>
  <si>
    <t xml:space="preserve">1321      </t>
  </si>
  <si>
    <t xml:space="preserve">1322      </t>
  </si>
  <si>
    <t xml:space="preserve">1323      </t>
  </si>
  <si>
    <t xml:space="preserve">1324      </t>
  </si>
  <si>
    <t xml:space="preserve">1325      </t>
  </si>
  <si>
    <t xml:space="preserve">1326      </t>
  </si>
  <si>
    <t xml:space="preserve">1327      </t>
  </si>
  <si>
    <t xml:space="preserve">1328      </t>
  </si>
  <si>
    <t xml:space="preserve">1329      </t>
  </si>
  <si>
    <t xml:space="preserve">1330      </t>
  </si>
  <si>
    <t xml:space="preserve">1331      </t>
  </si>
  <si>
    <t xml:space="preserve">1332      </t>
  </si>
  <si>
    <t xml:space="preserve">1333      </t>
  </si>
  <si>
    <t xml:space="preserve">1334      </t>
  </si>
  <si>
    <t xml:space="preserve">1335      </t>
  </si>
  <si>
    <t xml:space="preserve">1336      </t>
  </si>
  <si>
    <t xml:space="preserve">1337      </t>
  </si>
  <si>
    <t xml:space="preserve">1338      </t>
  </si>
  <si>
    <t xml:space="preserve">1339      </t>
  </si>
  <si>
    <t xml:space="preserve">1340      </t>
  </si>
  <si>
    <t xml:space="preserve">1341      </t>
  </si>
  <si>
    <t xml:space="preserve">1342      </t>
  </si>
  <si>
    <t xml:space="preserve">1343      </t>
  </si>
  <si>
    <t xml:space="preserve">1344      </t>
  </si>
  <si>
    <t xml:space="preserve">1345      </t>
  </si>
  <si>
    <t xml:space="preserve">1346      </t>
  </si>
  <si>
    <t xml:space="preserve">1347      </t>
  </si>
  <si>
    <t xml:space="preserve">1348      </t>
  </si>
  <si>
    <t xml:space="preserve">1349      </t>
  </si>
  <si>
    <t xml:space="preserve">1350      </t>
  </si>
  <si>
    <t xml:space="preserve">1351      </t>
  </si>
  <si>
    <t xml:space="preserve">1352      </t>
  </si>
  <si>
    <t xml:space="preserve">1353      </t>
  </si>
  <si>
    <t xml:space="preserve">1354      </t>
  </si>
  <si>
    <t xml:space="preserve">1355      </t>
  </si>
  <si>
    <t xml:space="preserve">1356      </t>
  </si>
  <si>
    <t xml:space="preserve">1357      </t>
  </si>
  <si>
    <t xml:space="preserve">1358      </t>
  </si>
  <si>
    <t xml:space="preserve">1359      </t>
  </si>
  <si>
    <t xml:space="preserve">1360      </t>
  </si>
  <si>
    <t xml:space="preserve">1361      </t>
  </si>
  <si>
    <t xml:space="preserve">1362      </t>
  </si>
  <si>
    <t xml:space="preserve">1363      </t>
  </si>
  <si>
    <t xml:space="preserve">1364      </t>
  </si>
  <si>
    <t xml:space="preserve">1365      </t>
  </si>
  <si>
    <t xml:space="preserve">1366      </t>
  </si>
  <si>
    <t xml:space="preserve">1367      </t>
  </si>
  <si>
    <t xml:space="preserve">1368      </t>
  </si>
  <si>
    <t xml:space="preserve">1369      </t>
  </si>
  <si>
    <t xml:space="preserve">1370      </t>
  </si>
  <si>
    <t xml:space="preserve">1371      </t>
  </si>
  <si>
    <t xml:space="preserve">1372      </t>
  </si>
  <si>
    <t xml:space="preserve">1373      </t>
  </si>
  <si>
    <t xml:space="preserve">1374      </t>
  </si>
  <si>
    <t xml:space="preserve">1375      </t>
  </si>
  <si>
    <t xml:space="preserve">1376      </t>
  </si>
  <si>
    <t xml:space="preserve">1377      </t>
  </si>
  <si>
    <t xml:space="preserve">1378      </t>
  </si>
  <si>
    <t xml:space="preserve">1379      </t>
  </si>
  <si>
    <t xml:space="preserve">1380      </t>
  </si>
  <si>
    <t xml:space="preserve">1381      </t>
  </si>
  <si>
    <t xml:space="preserve">1382      </t>
  </si>
  <si>
    <t xml:space="preserve">1383      </t>
  </si>
  <si>
    <t xml:space="preserve">1384      </t>
  </si>
  <si>
    <t xml:space="preserve">1385      </t>
  </si>
  <si>
    <t xml:space="preserve">1386      </t>
  </si>
  <si>
    <t xml:space="preserve">1387      </t>
  </si>
  <si>
    <t xml:space="preserve">1388      </t>
  </si>
  <si>
    <t xml:space="preserve">1389      </t>
  </si>
  <si>
    <t xml:space="preserve">1390      </t>
  </si>
  <si>
    <t xml:space="preserve">1391      </t>
  </si>
  <si>
    <t xml:space="preserve">1392      </t>
  </si>
  <si>
    <t xml:space="preserve">1393      </t>
  </si>
  <si>
    <t xml:space="preserve">1394      </t>
  </si>
  <si>
    <t xml:space="preserve">1395      </t>
  </si>
  <si>
    <t xml:space="preserve">1396      </t>
  </si>
  <si>
    <t xml:space="preserve">1397      </t>
  </si>
  <si>
    <t xml:space="preserve">1398      </t>
  </si>
  <si>
    <t xml:space="preserve">1399      </t>
  </si>
  <si>
    <t xml:space="preserve">1400      </t>
  </si>
  <si>
    <t xml:space="preserve">1401      </t>
  </si>
  <si>
    <t xml:space="preserve">1402      </t>
  </si>
  <si>
    <t xml:space="preserve">1403      </t>
  </si>
  <si>
    <t xml:space="preserve">1404      </t>
  </si>
  <si>
    <t xml:space="preserve">1405      </t>
  </si>
  <si>
    <t xml:space="preserve">1406      </t>
  </si>
  <si>
    <t xml:space="preserve">1407      </t>
  </si>
  <si>
    <t xml:space="preserve">1408      </t>
  </si>
  <si>
    <t xml:space="preserve">1409      </t>
  </si>
  <si>
    <t xml:space="preserve">1410      </t>
  </si>
  <si>
    <t xml:space="preserve">1411      </t>
  </si>
  <si>
    <t xml:space="preserve">1412      </t>
  </si>
  <si>
    <t xml:space="preserve">1413      </t>
  </si>
  <si>
    <t xml:space="preserve">1414      </t>
  </si>
  <si>
    <t xml:space="preserve">1415      </t>
  </si>
  <si>
    <t xml:space="preserve">1416      </t>
  </si>
  <si>
    <t xml:space="preserve">1417      </t>
  </si>
  <si>
    <t xml:space="preserve">1418      </t>
  </si>
  <si>
    <t xml:space="preserve">1419      </t>
  </si>
  <si>
    <t xml:space="preserve">1420      </t>
  </si>
  <si>
    <t xml:space="preserve">1421      </t>
  </si>
  <si>
    <t xml:space="preserve">1422      </t>
  </si>
  <si>
    <t xml:space="preserve">1423      </t>
  </si>
  <si>
    <t xml:space="preserve">1424      </t>
  </si>
  <si>
    <t xml:space="preserve">1425      </t>
  </si>
  <si>
    <t xml:space="preserve">1426      </t>
  </si>
  <si>
    <t xml:space="preserve">1427      </t>
  </si>
  <si>
    <t xml:space="preserve">1428      </t>
  </si>
  <si>
    <t xml:space="preserve">1429      </t>
  </si>
  <si>
    <t xml:space="preserve">1430      </t>
  </si>
  <si>
    <t xml:space="preserve">1431      </t>
  </si>
  <si>
    <t xml:space="preserve">1432      </t>
  </si>
  <si>
    <t xml:space="preserve">1433      </t>
  </si>
  <si>
    <t xml:space="preserve">1434      </t>
  </si>
  <si>
    <t xml:space="preserve">1435      </t>
  </si>
  <si>
    <t xml:space="preserve">1436      </t>
  </si>
  <si>
    <t xml:space="preserve">1437      </t>
  </si>
  <si>
    <t xml:space="preserve">1438      </t>
  </si>
  <si>
    <t xml:space="preserve">1439      </t>
  </si>
  <si>
    <t xml:space="preserve">1440      </t>
  </si>
  <si>
    <t xml:space="preserve">1441      </t>
  </si>
  <si>
    <t xml:space="preserve">1442      </t>
  </si>
  <si>
    <t xml:space="preserve">1443      </t>
  </si>
  <si>
    <t xml:space="preserve">1444      </t>
  </si>
  <si>
    <t xml:space="preserve">1445      </t>
  </si>
  <si>
    <t xml:space="preserve">1446      </t>
  </si>
  <si>
    <t xml:space="preserve">1447      </t>
  </si>
  <si>
    <t xml:space="preserve">1448      </t>
  </si>
  <si>
    <t xml:space="preserve">1449      </t>
  </si>
  <si>
    <t xml:space="preserve">1450      </t>
  </si>
  <si>
    <t xml:space="preserve">1451      </t>
  </si>
  <si>
    <t xml:space="preserve">1452      </t>
  </si>
  <si>
    <t xml:space="preserve">1453      </t>
  </si>
  <si>
    <t xml:space="preserve">1454      </t>
  </si>
  <si>
    <t xml:space="preserve">1455      </t>
  </si>
  <si>
    <t xml:space="preserve">1456      </t>
  </si>
  <si>
    <t xml:space="preserve">1457      </t>
  </si>
  <si>
    <t xml:space="preserve">1458      </t>
  </si>
  <si>
    <t xml:space="preserve">1459      </t>
  </si>
  <si>
    <t xml:space="preserve">1460      </t>
  </si>
  <si>
    <t xml:space="preserve">1461      </t>
  </si>
  <si>
    <t xml:space="preserve">1462      </t>
  </si>
  <si>
    <t xml:space="preserve">1463      </t>
  </si>
  <si>
    <t xml:space="preserve">1464      </t>
  </si>
  <si>
    <t xml:space="preserve">1465      </t>
  </si>
  <si>
    <t xml:space="preserve">1466      </t>
  </si>
  <si>
    <t xml:space="preserve">1467      </t>
  </si>
  <si>
    <t xml:space="preserve">1468      </t>
  </si>
  <si>
    <t xml:space="preserve">1469      </t>
  </si>
  <si>
    <t xml:space="preserve">1470      </t>
  </si>
  <si>
    <t xml:space="preserve">1471      </t>
  </si>
  <si>
    <t xml:space="preserve">1472      </t>
  </si>
  <si>
    <t xml:space="preserve">1473      </t>
  </si>
  <si>
    <t xml:space="preserve">1474      </t>
  </si>
  <si>
    <t xml:space="preserve">1475      </t>
  </si>
  <si>
    <t xml:space="preserve">1476      </t>
  </si>
  <si>
    <t xml:space="preserve">1477      </t>
  </si>
  <si>
    <t xml:space="preserve">1478      </t>
  </si>
  <si>
    <t xml:space="preserve">1479      </t>
  </si>
  <si>
    <t xml:space="preserve">1480      </t>
  </si>
  <si>
    <t xml:space="preserve">1481      </t>
  </si>
  <si>
    <t xml:space="preserve">1482      </t>
  </si>
  <si>
    <t xml:space="preserve">1483      </t>
  </si>
  <si>
    <t xml:space="preserve">1484      </t>
  </si>
  <si>
    <t xml:space="preserve">1485      </t>
  </si>
  <si>
    <t xml:space="preserve">1486      </t>
  </si>
  <si>
    <t xml:space="preserve">1487      </t>
  </si>
  <si>
    <t xml:space="preserve">1488      </t>
  </si>
  <si>
    <t xml:space="preserve">1489      </t>
  </si>
  <si>
    <t xml:space="preserve">1490      </t>
  </si>
  <si>
    <t xml:space="preserve">1491      </t>
  </si>
  <si>
    <t xml:space="preserve">1492      </t>
  </si>
  <si>
    <t xml:space="preserve">1493      </t>
  </si>
  <si>
    <t xml:space="preserve">1494      </t>
  </si>
  <si>
    <t xml:space="preserve">1495      </t>
  </si>
  <si>
    <t xml:space="preserve">1496      </t>
  </si>
  <si>
    <t xml:space="preserve">1497      </t>
  </si>
  <si>
    <t xml:space="preserve">1498      </t>
  </si>
  <si>
    <t xml:space="preserve">1499      </t>
  </si>
  <si>
    <t xml:space="preserve">1500      </t>
  </si>
  <si>
    <t xml:space="preserve">1501      </t>
  </si>
  <si>
    <t xml:space="preserve">1502      </t>
  </si>
  <si>
    <t xml:space="preserve">1503      </t>
  </si>
  <si>
    <t xml:space="preserve">1504      </t>
  </si>
  <si>
    <t xml:space="preserve">1505      </t>
  </si>
  <si>
    <t xml:space="preserve">1506      </t>
  </si>
  <si>
    <t xml:space="preserve">1507      </t>
  </si>
  <si>
    <t xml:space="preserve">1508      </t>
  </si>
  <si>
    <t xml:space="preserve">1509      </t>
  </si>
  <si>
    <t xml:space="preserve">1510      </t>
  </si>
  <si>
    <t xml:space="preserve">1511      </t>
  </si>
  <si>
    <t xml:space="preserve">1512      </t>
  </si>
  <si>
    <t xml:space="preserve">1513      </t>
  </si>
  <si>
    <t xml:space="preserve">1514      </t>
  </si>
  <si>
    <t xml:space="preserve">1515      </t>
  </si>
  <si>
    <t xml:space="preserve">1516      </t>
  </si>
  <si>
    <t xml:space="preserve">1517      </t>
  </si>
  <si>
    <t xml:space="preserve">1518      </t>
  </si>
  <si>
    <t xml:space="preserve">1519      </t>
  </si>
  <si>
    <t xml:space="preserve">1520      </t>
  </si>
  <si>
    <t xml:space="preserve">1521      </t>
  </si>
  <si>
    <t xml:space="preserve">1522      </t>
  </si>
  <si>
    <t xml:space="preserve">1523      </t>
  </si>
  <si>
    <t xml:space="preserve">1524      </t>
  </si>
  <si>
    <t xml:space="preserve">1525      </t>
  </si>
  <si>
    <t xml:space="preserve">1526      </t>
  </si>
  <si>
    <t xml:space="preserve">1527      </t>
  </si>
  <si>
    <t xml:space="preserve">1528      </t>
  </si>
  <si>
    <t xml:space="preserve">1529      </t>
  </si>
  <si>
    <t xml:space="preserve">1530      </t>
  </si>
  <si>
    <t xml:space="preserve">1531      </t>
  </si>
  <si>
    <t xml:space="preserve">1532      </t>
  </si>
  <si>
    <t xml:space="preserve">1533      </t>
  </si>
  <si>
    <t xml:space="preserve">1534      </t>
  </si>
  <si>
    <t xml:space="preserve">1535      </t>
  </si>
  <si>
    <t xml:space="preserve">1536      </t>
  </si>
  <si>
    <t xml:space="preserve">1537      </t>
  </si>
  <si>
    <t xml:space="preserve">1538      </t>
  </si>
  <si>
    <t xml:space="preserve">1539      </t>
  </si>
  <si>
    <t xml:space="preserve">1540      </t>
  </si>
  <si>
    <t xml:space="preserve">1541      </t>
  </si>
  <si>
    <t xml:space="preserve">1542      </t>
  </si>
  <si>
    <t xml:space="preserve">1543      </t>
  </si>
  <si>
    <t xml:space="preserve">1544      </t>
  </si>
  <si>
    <t xml:space="preserve">1545      </t>
  </si>
  <si>
    <t xml:space="preserve">1546      </t>
  </si>
  <si>
    <t xml:space="preserve">1547      </t>
  </si>
  <si>
    <t xml:space="preserve">1548      </t>
  </si>
  <si>
    <t xml:space="preserve">1549      </t>
  </si>
  <si>
    <t xml:space="preserve">1550      </t>
  </si>
  <si>
    <t xml:space="preserve">1551      </t>
  </si>
  <si>
    <t xml:space="preserve">1552      </t>
  </si>
  <si>
    <t xml:space="preserve">1553      </t>
  </si>
  <si>
    <t xml:space="preserve">1554      </t>
  </si>
  <si>
    <t xml:space="preserve">1555      </t>
  </si>
  <si>
    <t xml:space="preserve">1556      </t>
  </si>
  <si>
    <t xml:space="preserve">1557      </t>
  </si>
  <si>
    <t xml:space="preserve">1558      </t>
  </si>
  <si>
    <t xml:space="preserve">1559      </t>
  </si>
  <si>
    <t xml:space="preserve">1560      </t>
  </si>
  <si>
    <t xml:space="preserve">1561      </t>
  </si>
  <si>
    <t xml:space="preserve">1562      </t>
  </si>
  <si>
    <t xml:space="preserve">1563      </t>
  </si>
  <si>
    <t xml:space="preserve">1564      </t>
  </si>
  <si>
    <t xml:space="preserve">1565      </t>
  </si>
  <si>
    <t xml:space="preserve">1566      </t>
  </si>
  <si>
    <t xml:space="preserve">1567      </t>
  </si>
  <si>
    <t xml:space="preserve">1568      </t>
  </si>
  <si>
    <t xml:space="preserve">1569      </t>
  </si>
  <si>
    <t xml:space="preserve">1570      </t>
  </si>
  <si>
    <t xml:space="preserve">1571      </t>
  </si>
  <si>
    <t xml:space="preserve">1572      </t>
  </si>
  <si>
    <t xml:space="preserve">1573      </t>
  </si>
  <si>
    <t xml:space="preserve">1574      </t>
  </si>
  <si>
    <t xml:space="preserve">1575      </t>
  </si>
  <si>
    <t xml:space="preserve">1576      </t>
  </si>
  <si>
    <t xml:space="preserve">1577      </t>
  </si>
  <si>
    <t xml:space="preserve">1578      </t>
  </si>
  <si>
    <t xml:space="preserve">1579      </t>
  </si>
  <si>
    <t xml:space="preserve">1580      </t>
  </si>
  <si>
    <t xml:space="preserve">1581      </t>
  </si>
  <si>
    <t xml:space="preserve">1582      </t>
  </si>
  <si>
    <t xml:space="preserve">1583      </t>
  </si>
  <si>
    <t xml:space="preserve">1584      </t>
  </si>
  <si>
    <t xml:space="preserve">1585      </t>
  </si>
  <si>
    <t xml:space="preserve">1586      </t>
  </si>
  <si>
    <t xml:space="preserve">1587      </t>
  </si>
  <si>
    <t xml:space="preserve">1588      </t>
  </si>
  <si>
    <t xml:space="preserve">1589      </t>
  </si>
  <si>
    <t xml:space="preserve">1590      </t>
  </si>
  <si>
    <t xml:space="preserve">1591      </t>
  </si>
  <si>
    <t xml:space="preserve">1592      </t>
  </si>
  <si>
    <t xml:space="preserve">1593      </t>
  </si>
  <si>
    <t xml:space="preserve">1599      </t>
  </si>
  <si>
    <t xml:space="preserve">1602      </t>
  </si>
  <si>
    <t xml:space="preserve">1606      </t>
  </si>
  <si>
    <t xml:space="preserve">1607      </t>
  </si>
  <si>
    <t xml:space="preserve">1608      </t>
  </si>
  <si>
    <t xml:space="preserve">1610      </t>
  </si>
  <si>
    <t xml:space="preserve">1611      </t>
  </si>
  <si>
    <t xml:space="preserve">1612      </t>
  </si>
  <si>
    <t xml:space="preserve">1613      </t>
  </si>
  <si>
    <t xml:space="preserve">1614      </t>
  </si>
  <si>
    <t xml:space="preserve">1616      </t>
  </si>
  <si>
    <t xml:space="preserve">1617      </t>
  </si>
  <si>
    <t xml:space="preserve">1618      </t>
  </si>
  <si>
    <t xml:space="preserve">1619      </t>
  </si>
  <si>
    <t xml:space="preserve">1620      </t>
  </si>
  <si>
    <t xml:space="preserve">1621      </t>
  </si>
  <si>
    <t xml:space="preserve">1622      </t>
  </si>
  <si>
    <t xml:space="preserve">1624      </t>
  </si>
  <si>
    <t xml:space="preserve">1625      </t>
  </si>
  <si>
    <t xml:space="preserve">1626      </t>
  </si>
  <si>
    <t xml:space="preserve">1630      </t>
  </si>
  <si>
    <t xml:space="preserve">1631      </t>
  </si>
  <si>
    <t xml:space="preserve">1634      </t>
  </si>
  <si>
    <t xml:space="preserve">1635      </t>
  </si>
  <si>
    <t xml:space="preserve">1637      </t>
  </si>
  <si>
    <t xml:space="preserve">1638      </t>
  </si>
  <si>
    <t xml:space="preserve">1639      </t>
  </si>
  <si>
    <t xml:space="preserve">1640      </t>
  </si>
  <si>
    <t xml:space="preserve">1649      </t>
  </si>
  <si>
    <t xml:space="preserve">1651      </t>
  </si>
  <si>
    <t xml:space="preserve">1652      </t>
  </si>
  <si>
    <t xml:space="preserve">1654      </t>
  </si>
  <si>
    <t xml:space="preserve">1655      </t>
  </si>
  <si>
    <t xml:space="preserve">1657      </t>
  </si>
  <si>
    <t xml:space="preserve">1659      </t>
  </si>
  <si>
    <t xml:space="preserve">1660      </t>
  </si>
  <si>
    <t xml:space="preserve">1661      </t>
  </si>
  <si>
    <t xml:space="preserve">1663      </t>
  </si>
  <si>
    <t xml:space="preserve">1664      </t>
  </si>
  <si>
    <t xml:space="preserve">1666      </t>
  </si>
  <si>
    <t xml:space="preserve">1668      </t>
  </si>
  <si>
    <t xml:space="preserve">1669      </t>
  </si>
  <si>
    <t xml:space="preserve">1670      </t>
  </si>
  <si>
    <t xml:space="preserve">1671      </t>
  </si>
  <si>
    <t xml:space="preserve">1672      </t>
  </si>
  <si>
    <t xml:space="preserve">1673      </t>
  </si>
  <si>
    <t xml:space="preserve">1674      </t>
  </si>
  <si>
    <t xml:space="preserve">1678      </t>
  </si>
  <si>
    <t xml:space="preserve">1680      </t>
  </si>
  <si>
    <t xml:space="preserve">1682      </t>
  </si>
  <si>
    <t xml:space="preserve">1683      </t>
  </si>
  <si>
    <t xml:space="preserve">1686      </t>
  </si>
  <si>
    <t xml:space="preserve">1687      </t>
  </si>
  <si>
    <t xml:space="preserve">1688      </t>
  </si>
  <si>
    <t xml:space="preserve">1691      </t>
  </si>
  <si>
    <t xml:space="preserve">1692      </t>
  </si>
  <si>
    <t xml:space="preserve">1694      </t>
  </si>
  <si>
    <t xml:space="preserve">1698      </t>
  </si>
  <si>
    <t xml:space="preserve">1701      </t>
  </si>
  <si>
    <t xml:space="preserve">1702      </t>
  </si>
  <si>
    <t xml:space="preserve">1703      </t>
  </si>
  <si>
    <t xml:space="preserve">1704      </t>
  </si>
  <si>
    <t xml:space="preserve">1707      </t>
  </si>
  <si>
    <t xml:space="preserve">1711      </t>
  </si>
  <si>
    <t xml:space="preserve">1712      </t>
  </si>
  <si>
    <t xml:space="preserve">1713      </t>
  </si>
  <si>
    <t xml:space="preserve">1715      </t>
  </si>
  <si>
    <t xml:space="preserve">1717      </t>
  </si>
  <si>
    <t xml:space="preserve">1718      </t>
  </si>
  <si>
    <t xml:space="preserve">1719      </t>
  </si>
  <si>
    <t xml:space="preserve">1720      </t>
  </si>
  <si>
    <t xml:space="preserve">1721      </t>
  </si>
  <si>
    <t xml:space="preserve">1722      </t>
  </si>
  <si>
    <t xml:space="preserve">1723      </t>
  </si>
  <si>
    <t xml:space="preserve">1724      </t>
  </si>
  <si>
    <t xml:space="preserve">1725      </t>
  </si>
  <si>
    <t xml:space="preserve">1726      </t>
  </si>
  <si>
    <t xml:space="preserve">1727      </t>
  </si>
  <si>
    <t xml:space="preserve">1728      </t>
  </si>
  <si>
    <t xml:space="preserve">1729      </t>
  </si>
  <si>
    <t xml:space="preserve">1730      </t>
  </si>
  <si>
    <t xml:space="preserve">1732      </t>
  </si>
  <si>
    <t xml:space="preserve">1754      </t>
  </si>
  <si>
    <t xml:space="preserve">1755      </t>
  </si>
  <si>
    <t xml:space="preserve">1756      </t>
  </si>
  <si>
    <t xml:space="preserve">1757      </t>
  </si>
  <si>
    <t xml:space="preserve">1761      </t>
  </si>
  <si>
    <t xml:space="preserve">1762      </t>
  </si>
  <si>
    <t xml:space="preserve">1777      </t>
  </si>
  <si>
    <t xml:space="preserve">1785      </t>
  </si>
  <si>
    <t xml:space="preserve">1786      </t>
  </si>
  <si>
    <t xml:space="preserve">1792      </t>
  </si>
  <si>
    <t xml:space="preserve">1797      </t>
  </si>
  <si>
    <t xml:space="preserve">1798      </t>
  </si>
  <si>
    <t xml:space="preserve">1800      </t>
  </si>
  <si>
    <t xml:space="preserve">1802      </t>
  </si>
  <si>
    <t xml:space="preserve">1805      </t>
  </si>
  <si>
    <t xml:space="preserve">1806      </t>
  </si>
  <si>
    <t xml:space="preserve">1807      </t>
  </si>
  <si>
    <t xml:space="preserve">1808      </t>
  </si>
  <si>
    <t xml:space="preserve">1809      </t>
  </si>
  <si>
    <t xml:space="preserve">1810      </t>
  </si>
  <si>
    <t xml:space="preserve">1811      </t>
  </si>
  <si>
    <t xml:space="preserve">1816      </t>
  </si>
  <si>
    <t xml:space="preserve">1817      </t>
  </si>
  <si>
    <t xml:space="preserve">1824      </t>
  </si>
  <si>
    <t xml:space="preserve">1830      </t>
  </si>
  <si>
    <t xml:space="preserve">1831      </t>
  </si>
  <si>
    <t xml:space="preserve">1832      </t>
  </si>
  <si>
    <t xml:space="preserve">1833      </t>
  </si>
  <si>
    <t xml:space="preserve">1834      </t>
  </si>
  <si>
    <t xml:space="preserve">1835      </t>
  </si>
  <si>
    <t xml:space="preserve">1839      </t>
  </si>
  <si>
    <t xml:space="preserve">1840      </t>
  </si>
  <si>
    <t xml:space="preserve">1843      </t>
  </si>
  <si>
    <t xml:space="preserve">1858      </t>
  </si>
  <si>
    <t xml:space="preserve">1859      </t>
  </si>
  <si>
    <t xml:space="preserve">1861      </t>
  </si>
  <si>
    <t xml:space="preserve">1863      </t>
  </si>
  <si>
    <t xml:space="preserve">1870      </t>
  </si>
  <si>
    <t xml:space="preserve">1871      </t>
  </si>
  <si>
    <t xml:space="preserve">1872      </t>
  </si>
  <si>
    <t xml:space="preserve"> </t>
  </si>
  <si>
    <t>MARTINEZ GUERRERO YULI ANDREA</t>
  </si>
  <si>
    <t>SARMIENTO AGUIRRE JONNATHAN</t>
  </si>
  <si>
    <t>PANADERIA/CONSUMO</t>
  </si>
  <si>
    <t>Garantizado Noviembre</t>
  </si>
  <si>
    <t>CADENAS/INDUSTRIAS</t>
  </si>
  <si>
    <t>JVCADIND</t>
  </si>
  <si>
    <t>JULIANA</t>
  </si>
  <si>
    <t>GUZMAN AVILA JULIANA</t>
  </si>
  <si>
    <t>Jefe ventas/ Mercadeo</t>
  </si>
  <si>
    <t>Se le liquida por la venta en Bogotá consumo, mayorista, panaderia (pap) e industrias</t>
  </si>
  <si>
    <t>Dirección dllo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</si>
</sst>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_-;\-* #,##0_-;_-* &quot;-&quot;??_-;_-@_-"/>
    <numFmt numFmtId="167" formatCode="_-&quot;$&quot;\ * #,##0_-;\-&quot;$&quot;\ * #,##0_-;_-&quot;$&quot;\ * &quot;-&quot;??_-;_-@_-"/>
    <numFmt numFmtId="168" formatCode="_-&quot;$&quot;\ * #,##0_-;\-&quot;$&quot;\ * #,##0_-;_-&quot;$&quot;\ * &quot;-&quot;?_-;_-@_-"/>
    <numFmt numFmtId="169" formatCode="_-&quot;$&quot;\ * #,##0.0_-;\-&quot;$&quot;\ * #,##0.0_-;_-&quot;$&quot;\ * &quot;-&quot;_-;_-@_-"/>
    <numFmt numFmtId="170" formatCode="_-&quot;$&quot;\ * #,##0.0_-;\-&quot;$&quot;\ * #,##0.0_-;_-&quot;$&quot;\ * &quot;-&quot;?_-;_-@_-"/>
    <numFmt numFmtId="171" formatCode="_-* #,##0.0_-;\-* #,##0.0_-;_-* &quot;-&quot;_-;_-@_-"/>
    <numFmt numFmtId="172" formatCode="_(* #,##0_);_(* \(#,##0\);_(* &quot;-&quot;??_);_(@_)"/>
    <numFmt numFmtId="173" formatCode="_-* #,##0.0_-;\-* #,##0.0_-;_-* &quot;-&quot;??_-;_-@_-"/>
    <numFmt numFmtId="174" formatCode="_-* #,##0.0_-;\-* #,##0.0_-;_-* &quot;-&quot;?_-;_-@_-"/>
    <numFmt numFmtId="175" formatCode="#,##0.0"/>
    <numFmt numFmtId="176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11"/>
      <color theme="1"/>
      <name val="Arial Nova Light"/>
      <family val="2"/>
    </font>
    <font>
      <b/>
      <sz val="11"/>
      <color theme="1"/>
      <name val="Arial Nova Light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1"/>
      <name val="Arial Nova Light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color theme="1"/>
      <name val="Arial Nova Light"/>
      <family val="2"/>
    </font>
    <font>
      <b/>
      <sz val="10"/>
      <name val="Arial"/>
      <family val="2"/>
    </font>
    <font>
      <sz val="11"/>
      <color theme="4" tint="-0.499984740745262"/>
      <name val="Calibri"/>
      <family val="2"/>
      <scheme val="minor"/>
    </font>
    <font>
      <b/>
      <i/>
      <sz val="10"/>
      <color theme="1"/>
      <name val="Century Gothic"/>
      <family val="2"/>
    </font>
    <font>
      <b/>
      <i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rgb="FFB7D8A0"/>
        <bgColor indexed="64"/>
      </patternFill>
    </fill>
    <fill>
      <patternFill patternType="solid">
        <fgColor rgb="FFD5FFE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C2EC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E16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rgb="FF95B3D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4">
    <xf numFmtId="0" fontId="0" fillId="0" borderId="0" xfId="0"/>
    <xf numFmtId="0" fontId="0" fillId="0" borderId="0" xfId="0" applyAlignment="1">
      <alignment wrapText="1"/>
    </xf>
    <xf numFmtId="164" fontId="1" fillId="0" borderId="7" xfId="3" applyNumberFormat="1" applyBorder="1" applyAlignment="1">
      <alignment horizontal="center" vertical="center"/>
    </xf>
    <xf numFmtId="164" fontId="1" fillId="0" borderId="27" xfId="3" applyNumberFormat="1" applyBorder="1" applyAlignment="1">
      <alignment horizontal="center" vertical="center"/>
    </xf>
    <xf numFmtId="42" fontId="0" fillId="0" borderId="0" xfId="0" applyNumberFormat="1"/>
    <xf numFmtId="0" fontId="0" fillId="0" borderId="0" xfId="0" pivotButton="1"/>
    <xf numFmtId="0" fontId="0" fillId="0" borderId="5" xfId="0" applyBorder="1"/>
    <xf numFmtId="0" fontId="0" fillId="0" borderId="54" xfId="0" applyBorder="1"/>
    <xf numFmtId="0" fontId="2" fillId="22" borderId="8" xfId="0" applyFont="1" applyFill="1" applyBorder="1" applyAlignment="1">
      <alignment horizontal="center" vertical="center" wrapText="1"/>
    </xf>
    <xf numFmtId="0" fontId="0" fillId="22" borderId="8" xfId="0" applyFill="1" applyBorder="1" applyAlignment="1">
      <alignment wrapText="1"/>
    </xf>
    <xf numFmtId="0" fontId="2" fillId="22" borderId="9" xfId="0" applyFont="1" applyFill="1" applyBorder="1" applyAlignment="1">
      <alignment horizontal="center" vertical="center" wrapText="1"/>
    </xf>
    <xf numFmtId="9" fontId="2" fillId="17" borderId="55" xfId="0" applyNumberFormat="1" applyFont="1" applyFill="1" applyBorder="1" applyAlignment="1">
      <alignment horizontal="center" vertical="center"/>
    </xf>
    <xf numFmtId="9" fontId="2" fillId="17" borderId="56" xfId="0" applyNumberFormat="1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 wrapText="1"/>
    </xf>
    <xf numFmtId="9" fontId="2" fillId="21" borderId="0" xfId="0" applyNumberFormat="1" applyFont="1" applyFill="1" applyBorder="1"/>
    <xf numFmtId="0" fontId="0" fillId="0" borderId="0" xfId="0" applyBorder="1"/>
    <xf numFmtId="164" fontId="2" fillId="21" borderId="10" xfId="0" applyNumberFormat="1" applyFont="1" applyFill="1" applyBorder="1"/>
    <xf numFmtId="164" fontId="2" fillId="0" borderId="54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27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164" fontId="1" fillId="0" borderId="5" xfId="3" applyNumberFormat="1" applyBorder="1" applyAlignment="1">
      <alignment horizontal="center" vertical="center"/>
    </xf>
    <xf numFmtId="10" fontId="1" fillId="0" borderId="5" xfId="3" applyNumberFormat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164" fontId="2" fillId="21" borderId="5" xfId="0" applyNumberFormat="1" applyFont="1" applyFill="1" applyBorder="1"/>
    <xf numFmtId="0" fontId="0" fillId="0" borderId="39" xfId="0" applyBorder="1"/>
    <xf numFmtId="0" fontId="6" fillId="0" borderId="0" xfId="0" applyFont="1" applyFill="1" applyAlignment="1">
      <alignment vertical="center"/>
    </xf>
    <xf numFmtId="0" fontId="0" fillId="0" borderId="0" xfId="0" applyFill="1"/>
    <xf numFmtId="0" fontId="2" fillId="20" borderId="0" xfId="0" applyFont="1" applyFill="1"/>
    <xf numFmtId="42" fontId="0" fillId="0" borderId="0" xfId="0" applyNumberFormat="1" applyFill="1" applyAlignment="1">
      <alignment wrapText="1"/>
    </xf>
    <xf numFmtId="42" fontId="0" fillId="0" borderId="0" xfId="0" applyNumberFormat="1" applyFill="1"/>
    <xf numFmtId="0" fontId="0" fillId="0" borderId="0" xfId="0" applyFill="1" applyAlignment="1">
      <alignment horizontal="center"/>
    </xf>
    <xf numFmtId="41" fontId="0" fillId="0" borderId="0" xfId="6" applyFont="1" applyFill="1"/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 vertical="center"/>
    </xf>
    <xf numFmtId="9" fontId="8" fillId="0" borderId="0" xfId="3" applyFont="1" applyFill="1"/>
    <xf numFmtId="9" fontId="0" fillId="0" borderId="0" xfId="3" applyFont="1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3" fillId="0" borderId="0" xfId="0" applyFont="1"/>
    <xf numFmtId="42" fontId="13" fillId="0" borderId="0" xfId="0" applyNumberFormat="1" applyFont="1"/>
    <xf numFmtId="0" fontId="13" fillId="0" borderId="0" xfId="0" applyFont="1" applyAlignment="1">
      <alignment horizontal="center"/>
    </xf>
    <xf numFmtId="41" fontId="13" fillId="0" borderId="0" xfId="1" applyFont="1"/>
    <xf numFmtId="0" fontId="15" fillId="19" borderId="26" xfId="0" applyFont="1" applyFill="1" applyBorder="1" applyAlignment="1">
      <alignment horizontal="center" vertical="center" wrapText="1"/>
    </xf>
    <xf numFmtId="41" fontId="15" fillId="19" borderId="26" xfId="1" applyFont="1" applyFill="1" applyBorder="1" applyAlignment="1">
      <alignment horizontal="center" vertical="center" wrapText="1"/>
    </xf>
    <xf numFmtId="42" fontId="15" fillId="19" borderId="26" xfId="2" applyFont="1" applyFill="1" applyBorder="1" applyAlignment="1">
      <alignment horizontal="center" vertical="center" wrapText="1"/>
    </xf>
    <xf numFmtId="42" fontId="15" fillId="19" borderId="0" xfId="2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26" xfId="0" applyFont="1" applyBorder="1" applyAlignment="1">
      <alignment horizontal="center"/>
    </xf>
    <xf numFmtId="0" fontId="16" fillId="0" borderId="26" xfId="0" applyFont="1" applyBorder="1"/>
    <xf numFmtId="42" fontId="16" fillId="0" borderId="26" xfId="2" applyFont="1" applyBorder="1"/>
    <xf numFmtId="14" fontId="16" fillId="0" borderId="26" xfId="2" applyNumberFormat="1" applyFont="1" applyBorder="1"/>
    <xf numFmtId="42" fontId="16" fillId="0" borderId="26" xfId="2" applyFont="1" applyFill="1" applyBorder="1"/>
    <xf numFmtId="0" fontId="16" fillId="0" borderId="26" xfId="0" applyFont="1" applyFill="1" applyBorder="1"/>
    <xf numFmtId="0" fontId="16" fillId="0" borderId="26" xfId="0" applyFont="1" applyFill="1" applyBorder="1" applyAlignment="1">
      <alignment horizontal="center"/>
    </xf>
    <xf numFmtId="14" fontId="16" fillId="0" borderId="26" xfId="2" applyNumberFormat="1" applyFont="1" applyFill="1" applyBorder="1"/>
    <xf numFmtId="42" fontId="16" fillId="0" borderId="0" xfId="0" applyNumberFormat="1" applyFont="1"/>
    <xf numFmtId="0" fontId="16" fillId="0" borderId="0" xfId="0" applyFont="1" applyAlignment="1">
      <alignment horizontal="center"/>
    </xf>
    <xf numFmtId="42" fontId="16" fillId="0" borderId="0" xfId="2" applyFont="1"/>
    <xf numFmtId="42" fontId="16" fillId="0" borderId="0" xfId="2" applyFont="1" applyFill="1" applyBorder="1"/>
    <xf numFmtId="42" fontId="16" fillId="0" borderId="0" xfId="2" applyFont="1" applyAlignment="1">
      <alignment horizontal="center"/>
    </xf>
    <xf numFmtId="10" fontId="16" fillId="22" borderId="26" xfId="3" applyNumberFormat="1" applyFont="1" applyFill="1" applyBorder="1" applyAlignment="1">
      <alignment horizontal="center"/>
    </xf>
    <xf numFmtId="41" fontId="16" fillId="0" borderId="26" xfId="1" applyFont="1" applyBorder="1" applyAlignment="1">
      <alignment horizontal="center"/>
    </xf>
    <xf numFmtId="41" fontId="16" fillId="0" borderId="26" xfId="1" applyFont="1" applyFill="1" applyBorder="1" applyAlignment="1">
      <alignment horizontal="center"/>
    </xf>
    <xf numFmtId="41" fontId="16" fillId="0" borderId="0" xfId="1" applyFont="1" applyAlignment="1">
      <alignment horizontal="center"/>
    </xf>
    <xf numFmtId="0" fontId="0" fillId="0" borderId="0" xfId="0" applyAlignment="1">
      <alignment vertical="center"/>
    </xf>
    <xf numFmtId="0" fontId="17" fillId="0" borderId="11" xfId="0" applyFont="1" applyBorder="1" applyAlignment="1">
      <alignment horizontal="center" wrapText="1"/>
    </xf>
    <xf numFmtId="0" fontId="17" fillId="0" borderId="12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0" fontId="17" fillId="0" borderId="5" xfId="0" applyFont="1" applyFill="1" applyBorder="1" applyAlignment="1">
      <alignment horizontal="center" vertical="center" wrapText="1"/>
    </xf>
    <xf numFmtId="9" fontId="16" fillId="0" borderId="19" xfId="0" applyNumberFormat="1" applyFont="1" applyBorder="1" applyAlignment="1">
      <alignment horizontal="center"/>
    </xf>
    <xf numFmtId="10" fontId="17" fillId="9" borderId="28" xfId="3" applyNumberFormat="1" applyFont="1" applyFill="1" applyBorder="1" applyAlignment="1">
      <alignment horizontal="center"/>
    </xf>
    <xf numFmtId="9" fontId="16" fillId="0" borderId="39" xfId="0" applyNumberFormat="1" applyFont="1" applyBorder="1" applyAlignment="1">
      <alignment horizontal="center"/>
    </xf>
    <xf numFmtId="10" fontId="17" fillId="9" borderId="30" xfId="3" applyNumberFormat="1" applyFont="1" applyFill="1" applyBorder="1" applyAlignment="1">
      <alignment horizontal="center"/>
    </xf>
    <xf numFmtId="10" fontId="17" fillId="8" borderId="28" xfId="3" applyNumberFormat="1" applyFont="1" applyFill="1" applyBorder="1" applyAlignment="1">
      <alignment horizontal="center"/>
    </xf>
    <xf numFmtId="9" fontId="16" fillId="0" borderId="39" xfId="3" applyFont="1" applyBorder="1" applyAlignment="1">
      <alignment horizontal="center"/>
    </xf>
    <xf numFmtId="10" fontId="17" fillId="8" borderId="30" xfId="3" applyNumberFormat="1" applyFont="1" applyFill="1" applyBorder="1" applyAlignment="1">
      <alignment horizontal="center"/>
    </xf>
    <xf numFmtId="10" fontId="17" fillId="7" borderId="30" xfId="3" applyNumberFormat="1" applyFont="1" applyFill="1" applyBorder="1" applyAlignment="1">
      <alignment horizontal="center"/>
    </xf>
    <xf numFmtId="10" fontId="17" fillId="5" borderId="28" xfId="3" applyNumberFormat="1" applyFont="1" applyFill="1" applyBorder="1" applyAlignment="1">
      <alignment horizontal="center"/>
    </xf>
    <xf numFmtId="10" fontId="17" fillId="5" borderId="30" xfId="3" applyNumberFormat="1" applyFont="1" applyFill="1" applyBorder="1" applyAlignment="1">
      <alignment horizontal="center"/>
    </xf>
    <xf numFmtId="10" fontId="17" fillId="6" borderId="28" xfId="3" applyNumberFormat="1" applyFont="1" applyFill="1" applyBorder="1" applyAlignment="1">
      <alignment horizontal="center"/>
    </xf>
    <xf numFmtId="10" fontId="17" fillId="6" borderId="30" xfId="3" applyNumberFormat="1" applyFont="1" applyFill="1" applyBorder="1" applyAlignment="1">
      <alignment horizontal="center"/>
    </xf>
    <xf numFmtId="0" fontId="16" fillId="0" borderId="0" xfId="0" applyFont="1" applyAlignment="1">
      <alignment wrapText="1"/>
    </xf>
    <xf numFmtId="0" fontId="17" fillId="0" borderId="9" xfId="0" applyFont="1" applyBorder="1" applyAlignment="1">
      <alignment horizontal="center" vertical="center" wrapText="1"/>
    </xf>
    <xf numFmtId="0" fontId="17" fillId="22" borderId="8" xfId="0" applyFont="1" applyFill="1" applyBorder="1" applyAlignment="1">
      <alignment horizontal="center" vertical="center" wrapText="1"/>
    </xf>
    <xf numFmtId="164" fontId="16" fillId="0" borderId="7" xfId="3" applyNumberFormat="1" applyFont="1" applyBorder="1" applyAlignment="1">
      <alignment horizontal="center" vertical="center"/>
    </xf>
    <xf numFmtId="10" fontId="16" fillId="0" borderId="5" xfId="3" applyNumberFormat="1" applyFont="1" applyBorder="1" applyAlignment="1">
      <alignment horizontal="center" vertical="center"/>
    </xf>
    <xf numFmtId="9" fontId="17" fillId="17" borderId="5" xfId="0" applyNumberFormat="1" applyFont="1" applyFill="1" applyBorder="1" applyAlignment="1">
      <alignment horizontal="center" vertical="center"/>
    </xf>
    <xf numFmtId="164" fontId="17" fillId="0" borderId="54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9" fontId="17" fillId="17" borderId="7" xfId="0" applyNumberFormat="1" applyFont="1" applyFill="1" applyBorder="1" applyAlignment="1">
      <alignment horizontal="center" vertical="center"/>
    </xf>
    <xf numFmtId="9" fontId="17" fillId="17" borderId="55" xfId="0" applyNumberFormat="1" applyFont="1" applyFill="1" applyBorder="1" applyAlignment="1">
      <alignment horizontal="center" vertical="center"/>
    </xf>
    <xf numFmtId="0" fontId="17" fillId="0" borderId="41" xfId="0" applyFont="1" applyBorder="1" applyAlignment="1">
      <alignment horizontal="center" vertical="center" wrapText="1"/>
    </xf>
    <xf numFmtId="0" fontId="17" fillId="22" borderId="10" xfId="0" applyFont="1" applyFill="1" applyBorder="1" applyAlignment="1">
      <alignment horizontal="center" vertical="center" wrapText="1"/>
    </xf>
    <xf numFmtId="164" fontId="17" fillId="0" borderId="7" xfId="0" applyNumberFormat="1" applyFont="1" applyFill="1" applyBorder="1" applyAlignment="1">
      <alignment horizontal="center" vertical="center"/>
    </xf>
    <xf numFmtId="10" fontId="17" fillId="10" borderId="33" xfId="3" applyNumberFormat="1" applyFont="1" applyFill="1" applyBorder="1" applyAlignment="1">
      <alignment horizontal="center"/>
    </xf>
    <xf numFmtId="10" fontId="17" fillId="4" borderId="28" xfId="3" applyNumberFormat="1" applyFont="1" applyFill="1" applyBorder="1" applyAlignment="1">
      <alignment horizontal="center"/>
    </xf>
    <xf numFmtId="9" fontId="16" fillId="0" borderId="45" xfId="0" applyNumberFormat="1" applyFont="1" applyBorder="1" applyAlignment="1">
      <alignment horizontal="center"/>
    </xf>
    <xf numFmtId="9" fontId="17" fillId="0" borderId="60" xfId="0" applyNumberFormat="1" applyFont="1" applyBorder="1" applyAlignment="1">
      <alignment horizontal="center"/>
    </xf>
    <xf numFmtId="9" fontId="17" fillId="0" borderId="27" xfId="0" applyNumberFormat="1" applyFont="1" applyBorder="1" applyAlignment="1">
      <alignment horizontal="center"/>
    </xf>
    <xf numFmtId="9" fontId="17" fillId="0" borderId="53" xfId="0" applyNumberFormat="1" applyFont="1" applyBorder="1" applyAlignment="1">
      <alignment horizontal="center"/>
    </xf>
    <xf numFmtId="9" fontId="16" fillId="0" borderId="62" xfId="3" applyFont="1" applyBorder="1" applyAlignment="1">
      <alignment horizontal="center"/>
    </xf>
    <xf numFmtId="9" fontId="17" fillId="0" borderId="63" xfId="0" applyNumberFormat="1" applyFont="1" applyBorder="1" applyAlignment="1">
      <alignment horizontal="center"/>
    </xf>
    <xf numFmtId="9" fontId="13" fillId="0" borderId="0" xfId="3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/>
    </xf>
    <xf numFmtId="42" fontId="0" fillId="0" borderId="0" xfId="0" applyNumberFormat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41" fontId="14" fillId="0" borderId="0" xfId="1" applyFont="1" applyFill="1" applyBorder="1" applyAlignment="1">
      <alignment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vertical="center"/>
    </xf>
    <xf numFmtId="0" fontId="10" fillId="23" borderId="0" xfId="0" applyFont="1" applyFill="1" applyAlignment="1">
      <alignment horizontal="center" vertical="center" wrapText="1"/>
    </xf>
    <xf numFmtId="3" fontId="10" fillId="23" borderId="0" xfId="0" applyNumberFormat="1" applyFont="1" applyFill="1" applyAlignment="1">
      <alignment horizontal="center" vertical="center" wrapText="1"/>
    </xf>
    <xf numFmtId="41" fontId="0" fillId="0" borderId="0" xfId="1" applyFont="1" applyAlignment="1">
      <alignment horizontal="center"/>
    </xf>
    <xf numFmtId="41" fontId="0" fillId="0" borderId="0" xfId="1" applyFont="1"/>
    <xf numFmtId="0" fontId="0" fillId="0" borderId="0" xfId="0" applyAlignment="1"/>
    <xf numFmtId="9" fontId="13" fillId="0" borderId="0" xfId="0" applyNumberFormat="1" applyFont="1"/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0" fontId="17" fillId="10" borderId="46" xfId="3" applyNumberFormat="1" applyFont="1" applyFill="1" applyBorder="1" applyAlignment="1">
      <alignment horizontal="center"/>
    </xf>
    <xf numFmtId="10" fontId="17" fillId="9" borderId="35" xfId="3" applyNumberFormat="1" applyFont="1" applyFill="1" applyBorder="1" applyAlignment="1">
      <alignment horizontal="center"/>
    </xf>
    <xf numFmtId="10" fontId="17" fillId="9" borderId="68" xfId="3" applyNumberFormat="1" applyFont="1" applyFill="1" applyBorder="1" applyAlignment="1"/>
    <xf numFmtId="10" fontId="17" fillId="7" borderId="69" xfId="3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vertical="center"/>
    </xf>
    <xf numFmtId="41" fontId="16" fillId="0" borderId="26" xfId="1" applyFont="1" applyBorder="1" applyAlignment="1">
      <alignment horizontal="center" vertical="center"/>
    </xf>
    <xf numFmtId="42" fontId="16" fillId="0" borderId="26" xfId="2" applyFont="1" applyBorder="1" applyAlignment="1">
      <alignment vertical="center"/>
    </xf>
    <xf numFmtId="14" fontId="16" fillId="0" borderId="26" xfId="2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10" fontId="16" fillId="22" borderId="26" xfId="3" applyNumberFormat="1" applyFont="1" applyFill="1" applyBorder="1" applyAlignment="1">
      <alignment horizontal="center" vertical="center"/>
    </xf>
    <xf numFmtId="42" fontId="16" fillId="0" borderId="26" xfId="2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42" fontId="11" fillId="0" borderId="0" xfId="2" applyFont="1" applyFill="1" applyAlignment="1">
      <alignment horizontal="right" vertical="center"/>
    </xf>
    <xf numFmtId="42" fontId="0" fillId="0" borderId="0" xfId="2" applyFont="1" applyFill="1" applyBorder="1"/>
    <xf numFmtId="42" fontId="0" fillId="0" borderId="0" xfId="2" applyFont="1" applyFill="1"/>
    <xf numFmtId="0" fontId="2" fillId="20" borderId="0" xfId="0" applyFont="1" applyFill="1" applyAlignment="1"/>
    <xf numFmtId="164" fontId="13" fillId="0" borderId="0" xfId="3" applyNumberFormat="1" applyFont="1" applyAlignment="1">
      <alignment horizont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9" fontId="11" fillId="0" borderId="0" xfId="3" applyFont="1" applyFill="1" applyAlignment="1">
      <alignment horizontal="right" vertical="center"/>
    </xf>
    <xf numFmtId="42" fontId="11" fillId="0" borderId="0" xfId="2" applyFont="1" applyFill="1" applyAlignment="1">
      <alignment horizontal="center" vertical="center"/>
    </xf>
    <xf numFmtId="41" fontId="11" fillId="0" borderId="0" xfId="1" applyFont="1" applyFill="1" applyAlignment="1">
      <alignment horizontal="center" vertical="center"/>
    </xf>
    <xf numFmtId="0" fontId="19" fillId="0" borderId="0" xfId="0" applyFont="1"/>
    <xf numFmtId="42" fontId="19" fillId="0" borderId="0" xfId="2" applyFont="1"/>
    <xf numFmtId="0" fontId="19" fillId="0" borderId="0" xfId="0" applyFont="1" applyAlignment="1">
      <alignment horizontal="center"/>
    </xf>
    <xf numFmtId="42" fontId="19" fillId="0" borderId="5" xfId="2" applyFont="1" applyBorder="1"/>
    <xf numFmtId="0" fontId="0" fillId="0" borderId="55" xfId="0" applyFont="1" applyFill="1" applyBorder="1" applyAlignment="1">
      <alignment vertical="center"/>
    </xf>
    <xf numFmtId="42" fontId="0" fillId="0" borderId="0" xfId="2" applyFont="1" applyBorder="1" applyAlignment="1">
      <alignment vertical="center"/>
    </xf>
    <xf numFmtId="164" fontId="0" fillId="0" borderId="0" xfId="3" applyNumberFormat="1" applyFont="1" applyBorder="1" applyAlignment="1">
      <alignment horizontal="right" vertical="center"/>
    </xf>
    <xf numFmtId="164" fontId="0" fillId="0" borderId="0" xfId="3" applyNumberFormat="1" applyFont="1" applyBorder="1" applyAlignment="1">
      <alignment vertical="center"/>
    </xf>
    <xf numFmtId="164" fontId="0" fillId="0" borderId="0" xfId="3" applyNumberFormat="1" applyFont="1" applyBorder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42" fontId="0" fillId="0" borderId="0" xfId="2" applyFont="1" applyBorder="1" applyAlignment="1">
      <alignment horizontal="center" vertical="center"/>
    </xf>
    <xf numFmtId="42" fontId="0" fillId="0" borderId="0" xfId="2" applyFont="1" applyFill="1" applyBorder="1" applyAlignment="1">
      <alignment vertical="center"/>
    </xf>
    <xf numFmtId="164" fontId="0" fillId="0" borderId="0" xfId="3" applyNumberFormat="1" applyFont="1" applyFill="1" applyBorder="1" applyAlignment="1">
      <alignment horizontal="right" vertical="center"/>
    </xf>
    <xf numFmtId="164" fontId="0" fillId="0" borderId="0" xfId="3" applyNumberFormat="1" applyFont="1" applyFill="1" applyBorder="1" applyAlignment="1">
      <alignment vertical="center"/>
    </xf>
    <xf numFmtId="164" fontId="0" fillId="0" borderId="0" xfId="3" applyNumberFormat="1" applyFont="1" applyFill="1" applyBorder="1" applyAlignment="1">
      <alignment horizontal="center" vertical="center"/>
    </xf>
    <xf numFmtId="42" fontId="0" fillId="0" borderId="0" xfId="2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41" fontId="0" fillId="0" borderId="0" xfId="1" applyFont="1" applyBorder="1" applyAlignment="1">
      <alignment horizontal="right" vertical="center"/>
    </xf>
    <xf numFmtId="42" fontId="2" fillId="0" borderId="0" xfId="2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/>
    <xf numFmtId="9" fontId="22" fillId="0" borderId="0" xfId="0" applyNumberFormat="1" applyFont="1" applyAlignment="1">
      <alignment horizontal="right"/>
    </xf>
    <xf numFmtId="42" fontId="2" fillId="3" borderId="12" xfId="2" applyFont="1" applyFill="1" applyBorder="1"/>
    <xf numFmtId="42" fontId="2" fillId="3" borderId="18" xfId="2" applyFont="1" applyFill="1" applyBorder="1" applyAlignment="1">
      <alignment horizontal="center"/>
    </xf>
    <xf numFmtId="42" fontId="2" fillId="3" borderId="12" xfId="2" applyFont="1" applyFill="1" applyBorder="1" applyAlignment="1">
      <alignment horizontal="center"/>
    </xf>
    <xf numFmtId="164" fontId="2" fillId="3" borderId="18" xfId="3" applyNumberFormat="1" applyFont="1" applyFill="1" applyBorder="1" applyAlignment="1">
      <alignment horizontal="center"/>
    </xf>
    <xf numFmtId="164" fontId="2" fillId="3" borderId="12" xfId="3" applyNumberFormat="1" applyFont="1" applyFill="1" applyBorder="1" applyAlignment="1">
      <alignment horizontal="center"/>
    </xf>
    <xf numFmtId="42" fontId="2" fillId="3" borderId="50" xfId="2" applyFont="1" applyFill="1" applyBorder="1" applyAlignment="1">
      <alignment horizontal="center"/>
    </xf>
    <xf numFmtId="42" fontId="2" fillId="18" borderId="18" xfId="2" applyFont="1" applyFill="1" applyBorder="1" applyAlignment="1">
      <alignment horizontal="center"/>
    </xf>
    <xf numFmtId="42" fontId="2" fillId="18" borderId="12" xfId="2" applyFont="1" applyFill="1" applyBorder="1" applyAlignment="1">
      <alignment horizontal="center"/>
    </xf>
    <xf numFmtId="42" fontId="2" fillId="18" borderId="13" xfId="2" applyFont="1" applyFill="1" applyBorder="1" applyAlignment="1">
      <alignment horizontal="center"/>
    </xf>
    <xf numFmtId="0" fontId="0" fillId="0" borderId="0" xfId="0" applyAlignment="1">
      <alignment horizontal="center"/>
    </xf>
    <xf numFmtId="42" fontId="24" fillId="0" borderId="0" xfId="0" applyNumberFormat="1" applyFont="1"/>
    <xf numFmtId="49" fontId="16" fillId="0" borderId="26" xfId="0" applyNumberFormat="1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42" fontId="19" fillId="0" borderId="0" xfId="2" applyFont="1" applyBorder="1"/>
    <xf numFmtId="0" fontId="19" fillId="0" borderId="55" xfId="0" applyFont="1" applyBorder="1"/>
    <xf numFmtId="0" fontId="19" fillId="0" borderId="7" xfId="0" applyFont="1" applyBorder="1"/>
    <xf numFmtId="41" fontId="19" fillId="0" borderId="55" xfId="1" applyFont="1" applyBorder="1"/>
    <xf numFmtId="41" fontId="19" fillId="0" borderId="7" xfId="1" applyFont="1" applyBorder="1"/>
    <xf numFmtId="166" fontId="0" fillId="0" borderId="0" xfId="9" applyNumberFormat="1" applyFont="1"/>
    <xf numFmtId="0" fontId="0" fillId="0" borderId="0" xfId="0" applyNumberFormat="1" applyFill="1"/>
    <xf numFmtId="0" fontId="0" fillId="0" borderId="0" xfId="0" applyFill="1" applyBorder="1" applyAlignment="1">
      <alignment horizontal="center"/>
    </xf>
    <xf numFmtId="168" fontId="13" fillId="0" borderId="0" xfId="0" applyNumberFormat="1" applyFont="1"/>
    <xf numFmtId="168" fontId="13" fillId="0" borderId="0" xfId="0" applyNumberFormat="1" applyFont="1" applyAlignment="1">
      <alignment horizontal="center"/>
    </xf>
    <xf numFmtId="0" fontId="21" fillId="24" borderId="6" xfId="0" applyFont="1" applyFill="1" applyBorder="1" applyAlignment="1">
      <alignment horizontal="center"/>
    </xf>
    <xf numFmtId="0" fontId="21" fillId="24" borderId="14" xfId="0" applyFont="1" applyFill="1" applyBorder="1" applyAlignment="1">
      <alignment horizontal="center"/>
    </xf>
    <xf numFmtId="0" fontId="21" fillId="24" borderId="15" xfId="0" applyFont="1" applyFill="1" applyBorder="1" applyAlignment="1">
      <alignment horizontal="center"/>
    </xf>
    <xf numFmtId="0" fontId="21" fillId="24" borderId="19" xfId="0" applyFont="1" applyFill="1" applyBorder="1" applyAlignment="1">
      <alignment horizontal="center"/>
    </xf>
    <xf numFmtId="0" fontId="22" fillId="24" borderId="6" xfId="0" applyFont="1" applyFill="1" applyBorder="1" applyAlignment="1">
      <alignment horizontal="center" vertical="center"/>
    </xf>
    <xf numFmtId="164" fontId="22" fillId="24" borderId="6" xfId="3" applyNumberFormat="1" applyFont="1" applyFill="1" applyBorder="1" applyAlignment="1">
      <alignment horizontal="center"/>
    </xf>
    <xf numFmtId="0" fontId="21" fillId="24" borderId="67" xfId="0" applyFont="1" applyFill="1" applyBorder="1" applyAlignment="1">
      <alignment horizontal="center" vertical="center"/>
    </xf>
    <xf numFmtId="0" fontId="21" fillId="24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0" fillId="0" borderId="47" xfId="0" applyFont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164" fontId="21" fillId="5" borderId="6" xfId="3" applyNumberFormat="1" applyFont="1" applyFill="1" applyBorder="1" applyAlignment="1">
      <alignment horizontal="center"/>
    </xf>
    <xf numFmtId="164" fontId="21" fillId="5" borderId="14" xfId="3" applyNumberFormat="1" applyFont="1" applyFill="1" applyBorder="1" applyAlignment="1">
      <alignment horizontal="center"/>
    </xf>
    <xf numFmtId="42" fontId="0" fillId="0" borderId="19" xfId="2" applyFont="1" applyBorder="1" applyAlignment="1">
      <alignment vertical="center"/>
    </xf>
    <xf numFmtId="164" fontId="0" fillId="0" borderId="19" xfId="3" applyNumberFormat="1" applyFont="1" applyBorder="1" applyAlignment="1">
      <alignment vertical="center"/>
    </xf>
    <xf numFmtId="42" fontId="0" fillId="0" borderId="19" xfId="2" applyFont="1" applyFill="1" applyBorder="1" applyAlignment="1">
      <alignment vertical="center"/>
    </xf>
    <xf numFmtId="164" fontId="0" fillId="0" borderId="19" xfId="3" applyNumberFormat="1" applyFont="1" applyBorder="1" applyAlignment="1">
      <alignment horizontal="center" vertical="center"/>
    </xf>
    <xf numFmtId="9" fontId="0" fillId="0" borderId="19" xfId="3" applyFont="1" applyBorder="1" applyAlignment="1">
      <alignment horizontal="center" vertical="center"/>
    </xf>
    <xf numFmtId="42" fontId="0" fillId="0" borderId="19" xfId="2" applyFont="1" applyBorder="1" applyAlignment="1">
      <alignment horizontal="center" vertical="center"/>
    </xf>
    <xf numFmtId="42" fontId="0" fillId="0" borderId="43" xfId="2" applyFont="1" applyBorder="1" applyAlignment="1">
      <alignment vertical="center"/>
    </xf>
    <xf numFmtId="42" fontId="0" fillId="0" borderId="39" xfId="2" applyFont="1" applyBorder="1" applyAlignment="1">
      <alignment horizontal="center" vertical="center"/>
    </xf>
    <xf numFmtId="0" fontId="22" fillId="24" borderId="15" xfId="0" applyFont="1" applyFill="1" applyBorder="1" applyAlignment="1">
      <alignment horizontal="center" vertical="center"/>
    </xf>
    <xf numFmtId="0" fontId="22" fillId="24" borderId="5" xfId="0" applyFont="1" applyFill="1" applyBorder="1" applyAlignment="1">
      <alignment horizontal="center" vertical="center"/>
    </xf>
    <xf numFmtId="164" fontId="0" fillId="0" borderId="43" xfId="3" applyNumberFormat="1" applyFont="1" applyBorder="1" applyAlignment="1">
      <alignment horizontal="center" vertical="center"/>
    </xf>
    <xf numFmtId="164" fontId="0" fillId="0" borderId="16" xfId="3" applyNumberFormat="1" applyFont="1" applyBorder="1" applyAlignment="1">
      <alignment horizontal="center" vertical="center"/>
    </xf>
    <xf numFmtId="164" fontId="0" fillId="0" borderId="43" xfId="3" applyNumberFormat="1" applyFont="1" applyFill="1" applyBorder="1" applyAlignment="1">
      <alignment horizontal="center" vertical="center"/>
    </xf>
    <xf numFmtId="164" fontId="0" fillId="0" borderId="16" xfId="3" applyNumberFormat="1" applyFont="1" applyFill="1" applyBorder="1" applyAlignment="1">
      <alignment horizontal="center" vertical="center"/>
    </xf>
    <xf numFmtId="164" fontId="0" fillId="0" borderId="14" xfId="3" applyNumberFormat="1" applyFont="1" applyBorder="1" applyAlignment="1">
      <alignment horizontal="center" vertical="center"/>
    </xf>
    <xf numFmtId="164" fontId="0" fillId="0" borderId="15" xfId="3" applyNumberFormat="1" applyFont="1" applyBorder="1" applyAlignment="1">
      <alignment horizontal="center" vertical="center"/>
    </xf>
    <xf numFmtId="0" fontId="22" fillId="24" borderId="11" xfId="0" applyFont="1" applyFill="1" applyBorder="1" applyAlignment="1">
      <alignment horizontal="center" vertical="center"/>
    </xf>
    <xf numFmtId="164" fontId="22" fillId="24" borderId="14" xfId="3" applyNumberFormat="1" applyFont="1" applyFill="1" applyBorder="1" applyAlignment="1">
      <alignment horizontal="center"/>
    </xf>
    <xf numFmtId="0" fontId="21" fillId="5" borderId="15" xfId="0" applyFont="1" applyFill="1" applyBorder="1" applyAlignment="1">
      <alignment horizontal="center" vertical="center"/>
    </xf>
    <xf numFmtId="164" fontId="21" fillId="5" borderId="15" xfId="3" applyNumberFormat="1" applyFont="1" applyFill="1" applyBorder="1" applyAlignment="1">
      <alignment horizontal="center"/>
    </xf>
    <xf numFmtId="42" fontId="0" fillId="0" borderId="55" xfId="2" applyFont="1" applyBorder="1" applyAlignment="1">
      <alignment horizontal="center" vertical="center"/>
    </xf>
    <xf numFmtId="42" fontId="0" fillId="0" borderId="55" xfId="2" applyFont="1" applyFill="1" applyBorder="1" applyAlignment="1">
      <alignment horizontal="center" vertical="center"/>
    </xf>
    <xf numFmtId="42" fontId="0" fillId="0" borderId="7" xfId="2" applyFont="1" applyBorder="1" applyAlignment="1">
      <alignment horizontal="center" vertical="center"/>
    </xf>
    <xf numFmtId="164" fontId="0" fillId="0" borderId="16" xfId="3" applyNumberFormat="1" applyFont="1" applyBorder="1" applyAlignment="1">
      <alignment vertical="center"/>
    </xf>
    <xf numFmtId="164" fontId="0" fillId="0" borderId="16" xfId="3" applyNumberFormat="1" applyFont="1" applyFill="1" applyBorder="1" applyAlignment="1">
      <alignment vertical="center"/>
    </xf>
    <xf numFmtId="42" fontId="0" fillId="0" borderId="43" xfId="2" applyFont="1" applyFill="1" applyBorder="1" applyAlignment="1">
      <alignment vertical="center"/>
    </xf>
    <xf numFmtId="42" fontId="0" fillId="0" borderId="14" xfId="2" applyFont="1" applyFill="1" applyBorder="1" applyAlignment="1">
      <alignment vertical="center"/>
    </xf>
    <xf numFmtId="164" fontId="21" fillId="5" borderId="73" xfId="3" applyNumberFormat="1" applyFont="1" applyFill="1" applyBorder="1" applyAlignment="1">
      <alignment horizontal="center"/>
    </xf>
    <xf numFmtId="164" fontId="21" fillId="5" borderId="74" xfId="3" applyNumberFormat="1" applyFont="1" applyFill="1" applyBorder="1" applyAlignment="1">
      <alignment horizontal="center"/>
    </xf>
    <xf numFmtId="164" fontId="21" fillId="5" borderId="75" xfId="3" applyNumberFormat="1" applyFont="1" applyFill="1" applyBorder="1" applyAlignment="1">
      <alignment horizontal="center"/>
    </xf>
    <xf numFmtId="164" fontId="21" fillId="5" borderId="9" xfId="3" applyNumberFormat="1" applyFont="1" applyFill="1" applyBorder="1" applyAlignment="1">
      <alignment horizontal="center"/>
    </xf>
    <xf numFmtId="0" fontId="22" fillId="24" borderId="54" xfId="0" applyFont="1" applyFill="1" applyBorder="1" applyAlignment="1">
      <alignment horizontal="center" vertical="center"/>
    </xf>
    <xf numFmtId="0" fontId="21" fillId="5" borderId="80" xfId="0" applyFont="1" applyFill="1" applyBorder="1" applyAlignment="1">
      <alignment horizontal="center" vertical="center"/>
    </xf>
    <xf numFmtId="0" fontId="21" fillId="5" borderId="54" xfId="0" applyFont="1" applyFill="1" applyBorder="1" applyAlignment="1">
      <alignment horizontal="center" vertical="center"/>
    </xf>
    <xf numFmtId="0" fontId="21" fillId="5" borderId="71" xfId="0" applyFont="1" applyFill="1" applyBorder="1" applyAlignment="1">
      <alignment horizontal="center" vertical="center"/>
    </xf>
    <xf numFmtId="0" fontId="21" fillId="5" borderId="81" xfId="0" applyFont="1" applyFill="1" applyBorder="1" applyAlignment="1">
      <alignment horizontal="center" vertical="center"/>
    </xf>
    <xf numFmtId="42" fontId="21" fillId="5" borderId="49" xfId="2" applyFont="1" applyFill="1" applyBorder="1" applyAlignment="1">
      <alignment horizontal="center" vertical="center"/>
    </xf>
    <xf numFmtId="0" fontId="22" fillId="24" borderId="8" xfId="0" applyFont="1" applyFill="1" applyBorder="1" applyAlignment="1">
      <alignment horizontal="center" vertical="center"/>
    </xf>
    <xf numFmtId="9" fontId="0" fillId="0" borderId="14" xfId="3" applyFont="1" applyBorder="1" applyAlignment="1">
      <alignment horizontal="center" vertical="center"/>
    </xf>
    <xf numFmtId="9" fontId="0" fillId="0" borderId="15" xfId="3" applyFont="1" applyBorder="1" applyAlignment="1">
      <alignment horizontal="center" vertical="center"/>
    </xf>
    <xf numFmtId="9" fontId="0" fillId="0" borderId="43" xfId="3" applyFont="1" applyBorder="1" applyAlignment="1">
      <alignment horizontal="center" vertical="center"/>
    </xf>
    <xf numFmtId="9" fontId="0" fillId="0" borderId="16" xfId="3" applyFont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/>
    <xf numFmtId="41" fontId="26" fillId="0" borderId="0" xfId="1" applyFont="1"/>
    <xf numFmtId="0" fontId="26" fillId="0" borderId="0" xfId="0" applyFont="1" applyAlignment="1">
      <alignment horizontal="right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41" fontId="27" fillId="0" borderId="0" xfId="1" applyFont="1" applyFill="1" applyBorder="1" applyAlignment="1">
      <alignment vertical="center"/>
    </xf>
    <xf numFmtId="9" fontId="29" fillId="24" borderId="0" xfId="3" applyNumberFormat="1" applyFont="1" applyFill="1" applyBorder="1" applyAlignment="1">
      <alignment horizontal="center"/>
    </xf>
    <xf numFmtId="9" fontId="29" fillId="24" borderId="16" xfId="3" applyNumberFormat="1" applyFont="1" applyFill="1" applyBorder="1" applyAlignment="1">
      <alignment horizontal="center"/>
    </xf>
    <xf numFmtId="42" fontId="26" fillId="0" borderId="39" xfId="2" applyFont="1" applyBorder="1" applyAlignment="1">
      <alignment horizontal="center" vertical="center"/>
    </xf>
    <xf numFmtId="9" fontId="22" fillId="24" borderId="54" xfId="3" applyNumberFormat="1" applyFont="1" applyFill="1" applyBorder="1" applyAlignment="1">
      <alignment horizontal="center"/>
    </xf>
    <xf numFmtId="0" fontId="29" fillId="24" borderId="6" xfId="0" applyFont="1" applyFill="1" applyBorder="1" applyAlignment="1">
      <alignment horizontal="center" vertical="center"/>
    </xf>
    <xf numFmtId="0" fontId="29" fillId="24" borderId="14" xfId="0" applyFont="1" applyFill="1" applyBorder="1" applyAlignment="1">
      <alignment horizontal="center" vertical="center"/>
    </xf>
    <xf numFmtId="9" fontId="29" fillId="24" borderId="19" xfId="3" applyNumberFormat="1" applyFont="1" applyFill="1" applyBorder="1" applyAlignment="1">
      <alignment horizontal="center"/>
    </xf>
    <xf numFmtId="164" fontId="29" fillId="24" borderId="19" xfId="3" applyNumberFormat="1" applyFont="1" applyFill="1" applyBorder="1" applyAlignment="1">
      <alignment horizontal="center"/>
    </xf>
    <xf numFmtId="9" fontId="29" fillId="24" borderId="43" xfId="3" applyNumberFormat="1" applyFont="1" applyFill="1" applyBorder="1" applyAlignment="1">
      <alignment horizontal="center"/>
    </xf>
    <xf numFmtId="0" fontId="28" fillId="5" borderId="6" xfId="0" applyFont="1" applyFill="1" applyBorder="1" applyAlignment="1">
      <alignment horizontal="center" vertical="center"/>
    </xf>
    <xf numFmtId="0" fontId="28" fillId="5" borderId="14" xfId="0" applyFont="1" applyFill="1" applyBorder="1" applyAlignment="1">
      <alignment horizontal="center" vertical="center"/>
    </xf>
    <xf numFmtId="164" fontId="0" fillId="0" borderId="19" xfId="3" applyNumberFormat="1" applyFont="1" applyFill="1" applyBorder="1" applyAlignment="1">
      <alignment horizontal="right" vertical="center"/>
    </xf>
    <xf numFmtId="164" fontId="0" fillId="0" borderId="15" xfId="3" applyNumberFormat="1" applyFont="1" applyFill="1" applyBorder="1" applyAlignment="1">
      <alignment vertical="center"/>
    </xf>
    <xf numFmtId="0" fontId="16" fillId="0" borderId="26" xfId="0" applyFont="1" applyFill="1" applyBorder="1" applyAlignment="1">
      <alignment vertical="center"/>
    </xf>
    <xf numFmtId="41" fontId="16" fillId="0" borderId="26" xfId="1" applyFont="1" applyFill="1" applyBorder="1" applyAlignment="1">
      <alignment horizontal="center" vertical="center"/>
    </xf>
    <xf numFmtId="14" fontId="16" fillId="0" borderId="26" xfId="2" applyNumberFormat="1" applyFont="1" applyFill="1" applyBorder="1" applyAlignment="1">
      <alignment vertical="center"/>
    </xf>
    <xf numFmtId="0" fontId="16" fillId="0" borderId="2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1" fontId="2" fillId="0" borderId="0" xfId="1" applyFont="1" applyFill="1" applyBorder="1" applyAlignment="1">
      <alignment horizontal="center" vertical="center"/>
    </xf>
    <xf numFmtId="164" fontId="0" fillId="0" borderId="39" xfId="3" applyNumberFormat="1" applyFont="1" applyBorder="1" applyAlignment="1">
      <alignment horizontal="center" vertical="center"/>
    </xf>
    <xf numFmtId="166" fontId="0" fillId="0" borderId="0" xfId="9" applyNumberFormat="1" applyFont="1" applyFill="1"/>
    <xf numFmtId="171" fontId="14" fillId="0" borderId="0" xfId="1" applyNumberFormat="1" applyFont="1" applyFill="1" applyBorder="1" applyAlignment="1">
      <alignment vertical="center"/>
    </xf>
    <xf numFmtId="170" fontId="14" fillId="0" borderId="0" xfId="0" applyNumberFormat="1" applyFont="1" applyFill="1" applyBorder="1" applyAlignment="1">
      <alignment vertical="center"/>
    </xf>
    <xf numFmtId="164" fontId="0" fillId="0" borderId="0" xfId="3" applyNumberFormat="1" applyFont="1"/>
    <xf numFmtId="167" fontId="2" fillId="0" borderId="40" xfId="10" applyNumberFormat="1" applyFont="1" applyBorder="1"/>
    <xf numFmtId="0" fontId="22" fillId="24" borderId="14" xfId="0" applyFont="1" applyFill="1" applyBorder="1" applyAlignment="1">
      <alignment horizontal="center" vertical="center"/>
    </xf>
    <xf numFmtId="167" fontId="2" fillId="13" borderId="40" xfId="10" applyNumberFormat="1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167" fontId="0" fillId="0" borderId="6" xfId="10" applyNumberFormat="1" applyFont="1" applyBorder="1" applyAlignment="1">
      <alignment vertical="center"/>
    </xf>
    <xf numFmtId="167" fontId="0" fillId="0" borderId="55" xfId="10" applyNumberFormat="1" applyFont="1" applyBorder="1" applyAlignment="1">
      <alignment vertical="center"/>
    </xf>
    <xf numFmtId="166" fontId="13" fillId="0" borderId="0" xfId="9" applyNumberFormat="1" applyFont="1" applyAlignment="1">
      <alignment horizontal="center"/>
    </xf>
    <xf numFmtId="166" fontId="13" fillId="0" borderId="0" xfId="9" applyNumberFormat="1" applyFont="1"/>
    <xf numFmtId="0" fontId="0" fillId="0" borderId="82" xfId="0" applyBorder="1" applyAlignment="1">
      <alignment horizontal="center" vertical="center" wrapText="1"/>
    </xf>
    <xf numFmtId="166" fontId="0" fillId="5" borderId="43" xfId="9" applyNumberFormat="1" applyFont="1" applyFill="1" applyBorder="1" applyAlignment="1"/>
    <xf numFmtId="166" fontId="0" fillId="5" borderId="76" xfId="9" applyNumberFormat="1" applyFont="1" applyFill="1" applyBorder="1" applyAlignment="1"/>
    <xf numFmtId="0" fontId="29" fillId="24" borderId="19" xfId="0" applyFont="1" applyFill="1" applyBorder="1" applyAlignment="1">
      <alignment horizontal="center" vertical="center"/>
    </xf>
    <xf numFmtId="0" fontId="29" fillId="24" borderId="15" xfId="0" applyFont="1" applyFill="1" applyBorder="1" applyAlignment="1">
      <alignment horizontal="center" vertical="center"/>
    </xf>
    <xf numFmtId="10" fontId="0" fillId="0" borderId="0" xfId="3" applyNumberFormat="1" applyFont="1" applyFill="1"/>
    <xf numFmtId="0" fontId="28" fillId="24" borderId="15" xfId="0" applyFont="1" applyFill="1" applyBorder="1" applyAlignment="1">
      <alignment horizontal="center"/>
    </xf>
    <xf numFmtId="42" fontId="0" fillId="0" borderId="39" xfId="2" applyFont="1" applyFill="1" applyBorder="1" applyAlignment="1">
      <alignment horizontal="center" vertical="center"/>
    </xf>
    <xf numFmtId="164" fontId="0" fillId="0" borderId="42" xfId="3" applyNumberFormat="1" applyFont="1" applyBorder="1" applyAlignment="1">
      <alignment horizontal="center" vertical="center"/>
    </xf>
    <xf numFmtId="164" fontId="0" fillId="0" borderId="17" xfId="3" applyNumberFormat="1" applyFont="1" applyBorder="1" applyAlignment="1">
      <alignment horizontal="center" vertical="center"/>
    </xf>
    <xf numFmtId="9" fontId="28" fillId="0" borderId="0" xfId="0" applyNumberFormat="1" applyFont="1" applyFill="1" applyBorder="1" applyAlignment="1">
      <alignment horizontal="center" vertical="center"/>
    </xf>
    <xf numFmtId="9" fontId="26" fillId="0" borderId="0" xfId="0" applyNumberFormat="1" applyFont="1" applyAlignment="1">
      <alignment horizontal="right"/>
    </xf>
    <xf numFmtId="9" fontId="26" fillId="0" borderId="0" xfId="0" applyNumberFormat="1" applyFont="1"/>
    <xf numFmtId="166" fontId="0" fillId="0" borderId="0" xfId="9" applyNumberFormat="1" applyFont="1" applyFill="1" applyAlignment="1">
      <alignment vertical="center"/>
    </xf>
    <xf numFmtId="166" fontId="0" fillId="0" borderId="43" xfId="9" applyNumberFormat="1" applyFont="1" applyFill="1" applyBorder="1" applyAlignment="1"/>
    <xf numFmtId="164" fontId="0" fillId="0" borderId="0" xfId="0" applyNumberFormat="1" applyFill="1" applyAlignment="1">
      <alignment horizontal="center" vertical="center"/>
    </xf>
    <xf numFmtId="0" fontId="21" fillId="24" borderId="7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5" xfId="0" applyFill="1" applyBorder="1"/>
    <xf numFmtId="166" fontId="0" fillId="0" borderId="55" xfId="9" applyNumberFormat="1" applyFont="1" applyFill="1" applyBorder="1"/>
    <xf numFmtId="167" fontId="0" fillId="0" borderId="55" xfId="10" applyNumberFormat="1" applyFont="1" applyFill="1" applyBorder="1"/>
    <xf numFmtId="164" fontId="0" fillId="0" borderId="0" xfId="3" applyNumberFormat="1" applyFont="1" applyFill="1" applyAlignment="1">
      <alignment horizontal="center"/>
    </xf>
    <xf numFmtId="166" fontId="0" fillId="7" borderId="55" xfId="9" applyNumberFormat="1" applyFont="1" applyFill="1" applyBorder="1"/>
    <xf numFmtId="166" fontId="0" fillId="5" borderId="75" xfId="9" applyNumberFormat="1" applyFont="1" applyFill="1" applyBorder="1" applyAlignment="1">
      <alignment vertical="center"/>
    </xf>
    <xf numFmtId="42" fontId="26" fillId="0" borderId="0" xfId="0" applyNumberFormat="1" applyFont="1"/>
    <xf numFmtId="42" fontId="0" fillId="0" borderId="0" xfId="2" applyFont="1" applyBorder="1" applyAlignment="1">
      <alignment horizontal="center" vertical="center"/>
    </xf>
    <xf numFmtId="42" fontId="0" fillId="0" borderId="62" xfId="2" applyFont="1" applyBorder="1" applyAlignment="1">
      <alignment horizontal="center" vertical="center"/>
    </xf>
    <xf numFmtId="0" fontId="28" fillId="24" borderId="15" xfId="0" applyFont="1" applyFill="1" applyBorder="1" applyAlignment="1">
      <alignment horizontal="center" vertical="center"/>
    </xf>
    <xf numFmtId="42" fontId="23" fillId="0" borderId="55" xfId="2" applyFont="1" applyBorder="1" applyAlignment="1">
      <alignment vertical="center"/>
    </xf>
    <xf numFmtId="42" fontId="23" fillId="0" borderId="0" xfId="2" applyFont="1" applyBorder="1" applyAlignment="1">
      <alignment vertical="center"/>
    </xf>
    <xf numFmtId="164" fontId="23" fillId="0" borderId="0" xfId="3" applyNumberFormat="1" applyFont="1" applyBorder="1" applyAlignment="1">
      <alignment horizontal="right" vertical="center"/>
    </xf>
    <xf numFmtId="42" fontId="23" fillId="0" borderId="43" xfId="2" applyFont="1" applyFill="1" applyBorder="1" applyAlignment="1">
      <alignment vertical="center"/>
    </xf>
    <xf numFmtId="164" fontId="23" fillId="0" borderId="16" xfId="3" applyNumberFormat="1" applyFont="1" applyBorder="1" applyAlignment="1">
      <alignment vertical="center"/>
    </xf>
    <xf numFmtId="164" fontId="23" fillId="0" borderId="0" xfId="3" applyNumberFormat="1" applyFont="1" applyBorder="1" applyAlignment="1">
      <alignment vertical="center"/>
    </xf>
    <xf numFmtId="164" fontId="23" fillId="0" borderId="16" xfId="3" applyNumberFormat="1" applyFont="1" applyFill="1" applyBorder="1" applyAlignment="1">
      <alignment vertical="center"/>
    </xf>
    <xf numFmtId="164" fontId="23" fillId="0" borderId="43" xfId="3" applyNumberFormat="1" applyFont="1" applyBorder="1" applyAlignment="1">
      <alignment horizontal="center" vertical="center"/>
    </xf>
    <xf numFmtId="164" fontId="23" fillId="0" borderId="0" xfId="3" applyNumberFormat="1" applyFont="1" applyBorder="1" applyAlignment="1">
      <alignment horizontal="center" vertical="center"/>
    </xf>
    <xf numFmtId="164" fontId="23" fillId="0" borderId="16" xfId="3" applyNumberFormat="1" applyFont="1" applyBorder="1" applyAlignment="1">
      <alignment horizontal="center" vertical="center"/>
    </xf>
    <xf numFmtId="9" fontId="23" fillId="0" borderId="0" xfId="3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1" fontId="0" fillId="0" borderId="64" xfId="1" applyFont="1" applyBorder="1" applyAlignment="1">
      <alignment horizontal="right" vertical="center"/>
    </xf>
    <xf numFmtId="41" fontId="21" fillId="24" borderId="40" xfId="1" applyFont="1" applyFill="1" applyBorder="1" applyAlignment="1">
      <alignment horizontal="center" vertical="center"/>
    </xf>
    <xf numFmtId="0" fontId="21" fillId="24" borderId="83" xfId="0" applyFont="1" applyFill="1" applyBorder="1" applyAlignment="1">
      <alignment horizontal="center" vertical="center"/>
    </xf>
    <xf numFmtId="0" fontId="21" fillId="24" borderId="73" xfId="0" applyFont="1" applyFill="1" applyBorder="1" applyAlignment="1">
      <alignment horizontal="center"/>
    </xf>
    <xf numFmtId="0" fontId="21" fillId="24" borderId="74" xfId="0" applyFont="1" applyFill="1" applyBorder="1" applyAlignment="1">
      <alignment horizontal="center"/>
    </xf>
    <xf numFmtId="0" fontId="21" fillId="24" borderId="75" xfId="0" applyFont="1" applyFill="1" applyBorder="1" applyAlignment="1">
      <alignment horizontal="center"/>
    </xf>
    <xf numFmtId="0" fontId="21" fillId="24" borderId="8" xfId="0" applyFont="1" applyFill="1" applyBorder="1" applyAlignment="1">
      <alignment horizontal="center"/>
    </xf>
    <xf numFmtId="0" fontId="21" fillId="24" borderId="45" xfId="0" applyFont="1" applyFill="1" applyBorder="1" applyAlignment="1">
      <alignment horizontal="center"/>
    </xf>
    <xf numFmtId="164" fontId="22" fillId="24" borderId="74" xfId="3" applyNumberFormat="1" applyFont="1" applyFill="1" applyBorder="1" applyAlignment="1">
      <alignment horizontal="center"/>
    </xf>
    <xf numFmtId="9" fontId="22" fillId="24" borderId="73" xfId="3" applyNumberFormat="1" applyFont="1" applyFill="1" applyBorder="1" applyAlignment="1">
      <alignment horizontal="center"/>
    </xf>
    <xf numFmtId="9" fontId="22" fillId="24" borderId="74" xfId="3" applyNumberFormat="1" applyFont="1" applyFill="1" applyBorder="1" applyAlignment="1">
      <alignment horizontal="center"/>
    </xf>
    <xf numFmtId="9" fontId="22" fillId="24" borderId="75" xfId="3" applyNumberFormat="1" applyFont="1" applyFill="1" applyBorder="1" applyAlignment="1">
      <alignment horizontal="center"/>
    </xf>
    <xf numFmtId="164" fontId="29" fillId="24" borderId="14" xfId="3" applyNumberFormat="1" applyFont="1" applyFill="1" applyBorder="1" applyAlignment="1">
      <alignment horizontal="center"/>
    </xf>
    <xf numFmtId="0" fontId="28" fillId="24" borderId="6" xfId="0" applyFont="1" applyFill="1" applyBorder="1" applyAlignment="1">
      <alignment horizontal="center"/>
    </xf>
    <xf numFmtId="0" fontId="28" fillId="24" borderId="14" xfId="0" applyFont="1" applyFill="1" applyBorder="1" applyAlignment="1">
      <alignment horizontal="center"/>
    </xf>
    <xf numFmtId="0" fontId="28" fillId="24" borderId="19" xfId="0" applyFont="1" applyFill="1" applyBorder="1" applyAlignment="1">
      <alignment horizontal="center"/>
    </xf>
    <xf numFmtId="164" fontId="29" fillId="24" borderId="6" xfId="3" applyNumberFormat="1" applyFont="1" applyFill="1" applyBorder="1" applyAlignment="1">
      <alignment horizontal="center"/>
    </xf>
    <xf numFmtId="164" fontId="28" fillId="5" borderId="6" xfId="3" applyNumberFormat="1" applyFont="1" applyFill="1" applyBorder="1" applyAlignment="1">
      <alignment horizontal="center"/>
    </xf>
    <xf numFmtId="164" fontId="28" fillId="5" borderId="14" xfId="3" applyNumberFormat="1" applyFont="1" applyFill="1" applyBorder="1" applyAlignment="1">
      <alignment horizontal="center"/>
    </xf>
    <xf numFmtId="0" fontId="28" fillId="24" borderId="14" xfId="0" applyFont="1" applyFill="1" applyBorder="1" applyAlignment="1">
      <alignment horizontal="center" vertical="center"/>
    </xf>
    <xf numFmtId="0" fontId="28" fillId="24" borderId="19" xfId="0" applyFont="1" applyFill="1" applyBorder="1" applyAlignment="1">
      <alignment horizontal="center" vertical="center"/>
    </xf>
    <xf numFmtId="0" fontId="28" fillId="24" borderId="6" xfId="0" applyFont="1" applyFill="1" applyBorder="1" applyAlignment="1">
      <alignment horizontal="center" vertical="center"/>
    </xf>
    <xf numFmtId="42" fontId="26" fillId="0" borderId="11" xfId="0" applyNumberFormat="1" applyFont="1" applyBorder="1"/>
    <xf numFmtId="42" fontId="26" fillId="0" borderId="12" xfId="0" applyNumberFormat="1" applyFont="1" applyBorder="1"/>
    <xf numFmtId="0" fontId="26" fillId="0" borderId="12" xfId="0" applyFont="1" applyBorder="1"/>
    <xf numFmtId="42" fontId="2" fillId="3" borderId="11" xfId="2" applyFont="1" applyFill="1" applyBorder="1" applyAlignment="1">
      <alignment horizontal="center"/>
    </xf>
    <xf numFmtId="164" fontId="2" fillId="3" borderId="13" xfId="3" applyNumberFormat="1" applyFont="1" applyFill="1" applyBorder="1" applyAlignment="1">
      <alignment horizontal="center"/>
    </xf>
    <xf numFmtId="164" fontId="2" fillId="3" borderId="12" xfId="3" applyNumberFormat="1" applyFont="1" applyFill="1" applyBorder="1"/>
    <xf numFmtId="0" fontId="26" fillId="0" borderId="39" xfId="0" applyFont="1" applyBorder="1" applyAlignment="1">
      <alignment horizontal="center" vertical="center"/>
    </xf>
    <xf numFmtId="0" fontId="26" fillId="27" borderId="19" xfId="0" applyFont="1" applyFill="1" applyBorder="1" applyAlignment="1">
      <alignment horizontal="center" vertical="center"/>
    </xf>
    <xf numFmtId="0" fontId="28" fillId="27" borderId="19" xfId="0" applyFont="1" applyFill="1" applyBorder="1" applyAlignment="1">
      <alignment horizontal="center" vertical="center"/>
    </xf>
    <xf numFmtId="42" fontId="26" fillId="27" borderId="19" xfId="2" applyFont="1" applyFill="1" applyBorder="1" applyAlignment="1">
      <alignment vertical="center"/>
    </xf>
    <xf numFmtId="164" fontId="26" fillId="27" borderId="19" xfId="3" applyNumberFormat="1" applyFont="1" applyFill="1" applyBorder="1" applyAlignment="1">
      <alignment horizontal="right" vertical="center"/>
    </xf>
    <xf numFmtId="164" fontId="26" fillId="27" borderId="19" xfId="3" applyNumberFormat="1" applyFont="1" applyFill="1" applyBorder="1" applyAlignment="1">
      <alignment horizontal="center" vertical="center"/>
    </xf>
    <xf numFmtId="9" fontId="26" fillId="27" borderId="19" xfId="3" applyFont="1" applyFill="1" applyBorder="1" applyAlignment="1">
      <alignment horizontal="center" vertical="center"/>
    </xf>
    <xf numFmtId="42" fontId="26" fillId="27" borderId="19" xfId="2" applyFont="1" applyFill="1" applyBorder="1" applyAlignment="1">
      <alignment horizontal="center" vertical="center"/>
    </xf>
    <xf numFmtId="0" fontId="26" fillId="27" borderId="0" xfId="0" applyFont="1" applyFill="1" applyBorder="1" applyAlignment="1">
      <alignment horizontal="center" vertical="center"/>
    </xf>
    <xf numFmtId="0" fontId="28" fillId="27" borderId="0" xfId="0" applyFont="1" applyFill="1" applyBorder="1" applyAlignment="1">
      <alignment horizontal="center" vertical="center"/>
    </xf>
    <xf numFmtId="42" fontId="26" fillId="27" borderId="0" xfId="2" applyFont="1" applyFill="1" applyBorder="1" applyAlignment="1">
      <alignment vertical="center"/>
    </xf>
    <xf numFmtId="164" fontId="26" fillId="27" borderId="0" xfId="3" applyNumberFormat="1" applyFont="1" applyFill="1" applyBorder="1" applyAlignment="1">
      <alignment horizontal="right" vertical="center"/>
    </xf>
    <xf numFmtId="164" fontId="26" fillId="27" borderId="0" xfId="3" applyNumberFormat="1" applyFont="1" applyFill="1" applyBorder="1" applyAlignment="1">
      <alignment horizontal="center" vertical="center"/>
    </xf>
    <xf numFmtId="9" fontId="26" fillId="27" borderId="0" xfId="3" applyFont="1" applyFill="1" applyBorder="1" applyAlignment="1">
      <alignment horizontal="center" vertical="center"/>
    </xf>
    <xf numFmtId="42" fontId="26" fillId="27" borderId="0" xfId="2" applyFont="1" applyFill="1" applyBorder="1" applyAlignment="1">
      <alignment horizontal="center" vertical="center"/>
    </xf>
    <xf numFmtId="0" fontId="26" fillId="27" borderId="6" xfId="0" applyFont="1" applyFill="1" applyBorder="1" applyAlignment="1">
      <alignment horizontal="center" vertical="center"/>
    </xf>
    <xf numFmtId="0" fontId="26" fillId="27" borderId="55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27" borderId="14" xfId="0" applyFont="1" applyFill="1" applyBorder="1" applyAlignment="1">
      <alignment vertical="center"/>
    </xf>
    <xf numFmtId="41" fontId="26" fillId="27" borderId="15" xfId="1" applyFont="1" applyFill="1" applyBorder="1" applyAlignment="1">
      <alignment horizontal="right" vertical="center"/>
    </xf>
    <xf numFmtId="0" fontId="26" fillId="27" borderId="43" xfId="0" applyFont="1" applyFill="1" applyBorder="1" applyAlignment="1">
      <alignment vertical="center"/>
    </xf>
    <xf numFmtId="41" fontId="26" fillId="27" borderId="16" xfId="1" applyFont="1" applyFill="1" applyBorder="1" applyAlignment="1">
      <alignment horizontal="right" vertical="center"/>
    </xf>
    <xf numFmtId="41" fontId="28" fillId="24" borderId="15" xfId="1" applyFont="1" applyFill="1" applyBorder="1" applyAlignment="1">
      <alignment horizontal="center" vertical="center"/>
    </xf>
    <xf numFmtId="0" fontId="26" fillId="27" borderId="6" xfId="0" applyFont="1" applyFill="1" applyBorder="1" applyAlignment="1">
      <alignment vertical="center"/>
    </xf>
    <xf numFmtId="0" fontId="26" fillId="27" borderId="55" xfId="0" applyFont="1" applyFill="1" applyBorder="1" applyAlignment="1">
      <alignment vertical="center"/>
    </xf>
    <xf numFmtId="42" fontId="26" fillId="27" borderId="14" xfId="2" applyFont="1" applyFill="1" applyBorder="1" applyAlignment="1">
      <alignment vertical="center"/>
    </xf>
    <xf numFmtId="164" fontId="26" fillId="27" borderId="15" xfId="3" applyNumberFormat="1" applyFont="1" applyFill="1" applyBorder="1" applyAlignment="1">
      <alignment vertical="center"/>
    </xf>
    <xf numFmtId="42" fontId="26" fillId="27" borderId="43" xfId="2" applyFont="1" applyFill="1" applyBorder="1" applyAlignment="1">
      <alignment vertical="center"/>
    </xf>
    <xf numFmtId="164" fontId="26" fillId="27" borderId="16" xfId="3" applyNumberFormat="1" applyFont="1" applyFill="1" applyBorder="1" applyAlignment="1">
      <alignment vertical="center"/>
    </xf>
    <xf numFmtId="9" fontId="26" fillId="27" borderId="15" xfId="3" applyNumberFormat="1" applyFont="1" applyFill="1" applyBorder="1" applyAlignment="1">
      <alignment vertical="center"/>
    </xf>
    <xf numFmtId="9" fontId="26" fillId="27" borderId="16" xfId="3" applyNumberFormat="1" applyFont="1" applyFill="1" applyBorder="1" applyAlignment="1">
      <alignment vertical="center"/>
    </xf>
    <xf numFmtId="164" fontId="26" fillId="27" borderId="14" xfId="3" applyNumberFormat="1" applyFont="1" applyFill="1" applyBorder="1" applyAlignment="1">
      <alignment horizontal="center" vertical="center"/>
    </xf>
    <xf numFmtId="164" fontId="26" fillId="27" borderId="15" xfId="3" applyNumberFormat="1" applyFont="1" applyFill="1" applyBorder="1" applyAlignment="1">
      <alignment horizontal="center" vertical="center"/>
    </xf>
    <xf numFmtId="164" fontId="26" fillId="27" borderId="43" xfId="3" applyNumberFormat="1" applyFont="1" applyFill="1" applyBorder="1" applyAlignment="1">
      <alignment horizontal="center" vertical="center"/>
    </xf>
    <xf numFmtId="164" fontId="26" fillId="27" borderId="16" xfId="3" applyNumberFormat="1" applyFont="1" applyFill="1" applyBorder="1" applyAlignment="1">
      <alignment horizontal="center" vertical="center"/>
    </xf>
    <xf numFmtId="42" fontId="26" fillId="27" borderId="14" xfId="2" applyFont="1" applyFill="1" applyBorder="1" applyAlignment="1">
      <alignment horizontal="center" vertical="center"/>
    </xf>
    <xf numFmtId="42" fontId="26" fillId="27" borderId="15" xfId="2" applyFont="1" applyFill="1" applyBorder="1" applyAlignment="1">
      <alignment horizontal="center" vertical="center"/>
    </xf>
    <xf numFmtId="42" fontId="26" fillId="27" borderId="43" xfId="2" applyFont="1" applyFill="1" applyBorder="1" applyAlignment="1">
      <alignment horizontal="center" vertical="center"/>
    </xf>
    <xf numFmtId="42" fontId="26" fillId="27" borderId="16" xfId="2" applyFont="1" applyFill="1" applyBorder="1" applyAlignment="1">
      <alignment horizontal="center" vertical="center"/>
    </xf>
    <xf numFmtId="9" fontId="26" fillId="0" borderId="5" xfId="0" applyNumberFormat="1" applyFont="1" applyBorder="1" applyAlignment="1">
      <alignment horizontal="center"/>
    </xf>
    <xf numFmtId="9" fontId="26" fillId="0" borderId="13" xfId="3" applyFont="1" applyBorder="1" applyAlignment="1">
      <alignment horizontal="right" vertical="center"/>
    </xf>
    <xf numFmtId="9" fontId="26" fillId="0" borderId="13" xfId="3" applyFont="1" applyBorder="1" applyAlignment="1">
      <alignment vertical="center"/>
    </xf>
    <xf numFmtId="164" fontId="26" fillId="0" borderId="11" xfId="3" applyNumberFormat="1" applyFont="1" applyBorder="1" applyAlignment="1">
      <alignment horizontal="center" vertical="center"/>
    </xf>
    <xf numFmtId="164" fontId="26" fillId="0" borderId="12" xfId="3" applyNumberFormat="1" applyFont="1" applyBorder="1" applyAlignment="1">
      <alignment horizontal="center" vertical="center"/>
    </xf>
    <xf numFmtId="164" fontId="26" fillId="0" borderId="13" xfId="3" applyNumberFormat="1" applyFont="1" applyBorder="1" applyAlignment="1">
      <alignment horizontal="center" vertical="center"/>
    </xf>
    <xf numFmtId="9" fontId="26" fillId="0" borderId="11" xfId="3" applyFont="1" applyBorder="1" applyAlignment="1">
      <alignment horizontal="center" vertical="center"/>
    </xf>
    <xf numFmtId="9" fontId="26" fillId="0" borderId="12" xfId="3" applyFont="1" applyBorder="1" applyAlignment="1">
      <alignment horizontal="center" vertical="center"/>
    </xf>
    <xf numFmtId="9" fontId="26" fillId="0" borderId="13" xfId="3" applyFont="1" applyBorder="1" applyAlignment="1">
      <alignment horizontal="center" vertical="center"/>
    </xf>
    <xf numFmtId="42" fontId="26" fillId="0" borderId="12" xfId="2" applyFont="1" applyBorder="1" applyAlignment="1">
      <alignment horizontal="center" vertical="center"/>
    </xf>
    <xf numFmtId="42" fontId="26" fillId="0" borderId="11" xfId="2" applyFont="1" applyBorder="1" applyAlignment="1">
      <alignment horizontal="center" vertical="center"/>
    </xf>
    <xf numFmtId="42" fontId="28" fillId="24" borderId="13" xfId="2" applyFont="1" applyFill="1" applyBorder="1" applyAlignment="1">
      <alignment horizontal="center" vertical="center"/>
    </xf>
    <xf numFmtId="0" fontId="21" fillId="24" borderId="45" xfId="0" applyFont="1" applyFill="1" applyBorder="1" applyAlignment="1">
      <alignment horizontal="center" vertical="center"/>
    </xf>
    <xf numFmtId="166" fontId="0" fillId="26" borderId="55" xfId="9" applyNumberFormat="1" applyFont="1" applyFill="1" applyBorder="1"/>
    <xf numFmtId="167" fontId="0" fillId="26" borderId="55" xfId="10" applyNumberFormat="1" applyFont="1" applyFill="1" applyBorder="1"/>
    <xf numFmtId="166" fontId="0" fillId="26" borderId="0" xfId="9" applyNumberFormat="1" applyFont="1" applyFill="1" applyAlignment="1">
      <alignment vertical="center"/>
    </xf>
    <xf numFmtId="0" fontId="2" fillId="13" borderId="82" xfId="0" applyFont="1" applyFill="1" applyBorder="1" applyAlignment="1">
      <alignment horizontal="center" vertical="center" wrapText="1"/>
    </xf>
    <xf numFmtId="1" fontId="17" fillId="5" borderId="35" xfId="3" applyNumberFormat="1" applyFont="1" applyFill="1" applyBorder="1" applyAlignment="1">
      <alignment horizontal="center" vertical="center"/>
    </xf>
    <xf numFmtId="1" fontId="17" fillId="5" borderId="68" xfId="3" applyNumberFormat="1" applyFont="1" applyFill="1" applyBorder="1" applyAlignment="1">
      <alignment horizontal="center" vertical="center"/>
    </xf>
    <xf numFmtId="1" fontId="17" fillId="6" borderId="35" xfId="3" applyNumberFormat="1" applyFont="1" applyFill="1" applyBorder="1" applyAlignment="1">
      <alignment horizontal="center" vertical="center"/>
    </xf>
    <xf numFmtId="1" fontId="17" fillId="6" borderId="68" xfId="3" applyNumberFormat="1" applyFont="1" applyFill="1" applyBorder="1" applyAlignment="1">
      <alignment horizontal="center" vertical="center"/>
    </xf>
    <xf numFmtId="10" fontId="18" fillId="4" borderId="71" xfId="3" applyNumberFormat="1" applyFont="1" applyFill="1" applyBorder="1" applyAlignment="1">
      <alignment horizontal="center" wrapText="1"/>
    </xf>
    <xf numFmtId="10" fontId="18" fillId="4" borderId="70" xfId="3" applyNumberFormat="1" applyFont="1" applyFill="1" applyBorder="1" applyAlignment="1">
      <alignment horizontal="center" wrapText="1"/>
    </xf>
    <xf numFmtId="166" fontId="0" fillId="5" borderId="0" xfId="9" applyNumberFormat="1" applyFont="1" applyFill="1" applyAlignment="1">
      <alignment vertical="center"/>
    </xf>
    <xf numFmtId="166" fontId="0" fillId="0" borderId="43" xfId="9" applyNumberFormat="1" applyFont="1" applyFill="1" applyBorder="1" applyAlignment="1">
      <alignment vertical="center"/>
    </xf>
    <xf numFmtId="0" fontId="0" fillId="0" borderId="39" xfId="0" applyFont="1" applyFill="1" applyBorder="1" applyAlignment="1">
      <alignment horizontal="center" vertical="center"/>
    </xf>
    <xf numFmtId="0" fontId="0" fillId="27" borderId="19" xfId="0" applyFont="1" applyFill="1" applyBorder="1" applyAlignment="1">
      <alignment horizontal="center" vertical="center"/>
    </xf>
    <xf numFmtId="41" fontId="0" fillId="27" borderId="19" xfId="1" applyFont="1" applyFill="1" applyBorder="1" applyAlignment="1">
      <alignment horizontal="center" vertical="center"/>
    </xf>
    <xf numFmtId="42" fontId="0" fillId="27" borderId="19" xfId="2" applyFont="1" applyFill="1" applyBorder="1" applyAlignment="1">
      <alignment horizontal="center" vertical="center"/>
    </xf>
    <xf numFmtId="164" fontId="0" fillId="27" borderId="19" xfId="3" applyNumberFormat="1" applyFont="1" applyFill="1" applyBorder="1" applyAlignment="1">
      <alignment horizontal="right" vertical="center"/>
    </xf>
    <xf numFmtId="164" fontId="0" fillId="27" borderId="19" xfId="3" applyNumberFormat="1" applyFont="1" applyFill="1" applyBorder="1" applyAlignment="1">
      <alignment horizontal="center" vertical="center"/>
    </xf>
    <xf numFmtId="9" fontId="0" fillId="27" borderId="19" xfId="3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center" vertical="center"/>
    </xf>
    <xf numFmtId="41" fontId="0" fillId="27" borderId="0" xfId="1" applyFont="1" applyFill="1" applyBorder="1" applyAlignment="1">
      <alignment horizontal="center" vertical="center"/>
    </xf>
    <xf numFmtId="42" fontId="0" fillId="27" borderId="0" xfId="2" applyFont="1" applyFill="1" applyBorder="1" applyAlignment="1">
      <alignment horizontal="center" vertical="center"/>
    </xf>
    <xf numFmtId="164" fontId="0" fillId="27" borderId="0" xfId="3" applyNumberFormat="1" applyFont="1" applyFill="1" applyBorder="1" applyAlignment="1">
      <alignment horizontal="right" vertical="center"/>
    </xf>
    <xf numFmtId="164" fontId="0" fillId="27" borderId="0" xfId="3" applyNumberFormat="1" applyFont="1" applyFill="1" applyBorder="1" applyAlignment="1">
      <alignment horizontal="center" vertical="center"/>
    </xf>
    <xf numFmtId="9" fontId="0" fillId="27" borderId="0" xfId="3" applyFont="1" applyFill="1" applyBorder="1" applyAlignment="1">
      <alignment horizontal="center" vertical="center"/>
    </xf>
    <xf numFmtId="0" fontId="21" fillId="24" borderId="6" xfId="0" applyFont="1" applyFill="1" applyBorder="1" applyAlignment="1">
      <alignment horizontal="center" vertical="center"/>
    </xf>
    <xf numFmtId="0" fontId="0" fillId="27" borderId="6" xfId="0" applyFont="1" applyFill="1" applyBorder="1" applyAlignment="1">
      <alignment horizontal="center" vertical="center"/>
    </xf>
    <xf numFmtId="0" fontId="0" fillId="27" borderId="55" xfId="0" applyFont="1" applyFill="1" applyBorder="1" applyAlignment="1">
      <alignment horizontal="center" vertical="center"/>
    </xf>
    <xf numFmtId="41" fontId="21" fillId="24" borderId="45" xfId="1" applyFont="1" applyFill="1" applyBorder="1" applyAlignment="1">
      <alignment horizontal="center" vertical="center"/>
    </xf>
    <xf numFmtId="42" fontId="0" fillId="27" borderId="14" xfId="2" applyFont="1" applyFill="1" applyBorder="1" applyAlignment="1">
      <alignment horizontal="center" vertical="center"/>
    </xf>
    <xf numFmtId="164" fontId="0" fillId="27" borderId="15" xfId="3" applyNumberFormat="1" applyFont="1" applyFill="1" applyBorder="1" applyAlignment="1">
      <alignment horizontal="right" vertical="center"/>
    </xf>
    <xf numFmtId="42" fontId="0" fillId="27" borderId="43" xfId="2" applyFont="1" applyFill="1" applyBorder="1" applyAlignment="1">
      <alignment horizontal="center" vertical="center"/>
    </xf>
    <xf numFmtId="164" fontId="0" fillId="27" borderId="16" xfId="3" applyNumberFormat="1" applyFont="1" applyFill="1" applyBorder="1" applyAlignment="1">
      <alignment horizontal="right" vertical="center"/>
    </xf>
    <xf numFmtId="164" fontId="0" fillId="27" borderId="14" xfId="3" applyNumberFormat="1" applyFont="1" applyFill="1" applyBorder="1" applyAlignment="1">
      <alignment horizontal="center" vertical="center"/>
    </xf>
    <xf numFmtId="164" fontId="0" fillId="27" borderId="15" xfId="3" applyNumberFormat="1" applyFont="1" applyFill="1" applyBorder="1" applyAlignment="1">
      <alignment horizontal="center" vertical="center"/>
    </xf>
    <xf numFmtId="164" fontId="0" fillId="27" borderId="43" xfId="3" applyNumberFormat="1" applyFont="1" applyFill="1" applyBorder="1" applyAlignment="1">
      <alignment horizontal="center" vertical="center"/>
    </xf>
    <xf numFmtId="164" fontId="0" fillId="27" borderId="16" xfId="3" applyNumberFormat="1" applyFont="1" applyFill="1" applyBorder="1" applyAlignment="1">
      <alignment horizontal="center" vertical="center"/>
    </xf>
    <xf numFmtId="42" fontId="21" fillId="24" borderId="17" xfId="2" applyFont="1" applyFill="1" applyBorder="1" applyAlignment="1">
      <alignment horizontal="center" vertical="center"/>
    </xf>
    <xf numFmtId="42" fontId="22" fillId="5" borderId="5" xfId="0" applyNumberFormat="1" applyFont="1" applyFill="1" applyBorder="1"/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164" fontId="16" fillId="0" borderId="0" xfId="3" applyNumberFormat="1" applyFont="1" applyBorder="1" applyAlignment="1">
      <alignment horizontal="center" vertical="center"/>
    </xf>
    <xf numFmtId="9" fontId="17" fillId="17" borderId="0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10" fontId="17" fillId="25" borderId="84" xfId="3" applyNumberFormat="1" applyFont="1" applyFill="1" applyBorder="1" applyAlignment="1">
      <alignment horizontal="center"/>
    </xf>
    <xf numFmtId="10" fontId="17" fillId="25" borderId="85" xfId="3" applyNumberFormat="1" applyFont="1" applyFill="1" applyBorder="1" applyAlignment="1">
      <alignment horizontal="center"/>
    </xf>
    <xf numFmtId="10" fontId="17" fillId="10" borderId="28" xfId="3" applyNumberFormat="1" applyFont="1" applyFill="1" applyBorder="1" applyAlignment="1">
      <alignment horizontal="center"/>
    </xf>
    <xf numFmtId="10" fontId="17" fillId="10" borderId="86" xfId="3" applyNumberFormat="1" applyFont="1" applyFill="1" applyBorder="1" applyAlignment="1">
      <alignment horizontal="center"/>
    </xf>
    <xf numFmtId="10" fontId="17" fillId="10" borderId="30" xfId="3" applyNumberFormat="1" applyFont="1" applyFill="1" applyBorder="1" applyAlignment="1">
      <alignment horizontal="center"/>
    </xf>
    <xf numFmtId="10" fontId="17" fillId="9" borderId="87" xfId="3" applyNumberFormat="1" applyFont="1" applyFill="1" applyBorder="1" applyAlignment="1">
      <alignment horizontal="center"/>
    </xf>
    <xf numFmtId="10" fontId="17" fillId="10" borderId="88" xfId="3" applyNumberFormat="1" applyFont="1" applyFill="1" applyBorder="1" applyAlignment="1">
      <alignment horizontal="center"/>
    </xf>
    <xf numFmtId="10" fontId="17" fillId="9" borderId="89" xfId="3" applyNumberFormat="1" applyFont="1" applyFill="1" applyBorder="1" applyAlignment="1">
      <alignment horizontal="center"/>
    </xf>
    <xf numFmtId="10" fontId="17" fillId="9" borderId="90" xfId="3" applyNumberFormat="1" applyFont="1" applyFill="1" applyBorder="1" applyAlignment="1">
      <alignment horizontal="center"/>
    </xf>
    <xf numFmtId="10" fontId="17" fillId="8" borderId="89" xfId="3" applyNumberFormat="1" applyFont="1" applyFill="1" applyBorder="1" applyAlignment="1">
      <alignment horizontal="center"/>
    </xf>
    <xf numFmtId="10" fontId="17" fillId="8" borderId="90" xfId="3" applyNumberFormat="1" applyFont="1" applyFill="1" applyBorder="1" applyAlignment="1">
      <alignment horizontal="center"/>
    </xf>
    <xf numFmtId="10" fontId="17" fillId="7" borderId="90" xfId="3" applyNumberFormat="1" applyFont="1" applyFill="1" applyBorder="1" applyAlignment="1">
      <alignment horizontal="center"/>
    </xf>
    <xf numFmtId="10" fontId="17" fillId="5" borderId="89" xfId="3" applyNumberFormat="1" applyFont="1" applyFill="1" applyBorder="1" applyAlignment="1">
      <alignment horizontal="center"/>
    </xf>
    <xf numFmtId="10" fontId="17" fillId="5" borderId="90" xfId="3" applyNumberFormat="1" applyFont="1" applyFill="1" applyBorder="1" applyAlignment="1">
      <alignment horizontal="center"/>
    </xf>
    <xf numFmtId="10" fontId="17" fillId="6" borderId="89" xfId="3" applyNumberFormat="1" applyFont="1" applyFill="1" applyBorder="1" applyAlignment="1">
      <alignment horizontal="center"/>
    </xf>
    <xf numFmtId="10" fontId="17" fillId="6" borderId="90" xfId="3" applyNumberFormat="1" applyFont="1" applyFill="1" applyBorder="1" applyAlignment="1">
      <alignment horizontal="center"/>
    </xf>
    <xf numFmtId="169" fontId="0" fillId="0" borderId="14" xfId="2" applyNumberFormat="1" applyFont="1" applyFill="1" applyBorder="1" applyAlignment="1">
      <alignment vertical="center"/>
    </xf>
    <xf numFmtId="169" fontId="0" fillId="0" borderId="19" xfId="2" applyNumberFormat="1" applyFont="1" applyFill="1" applyBorder="1" applyAlignment="1">
      <alignment vertical="center"/>
    </xf>
    <xf numFmtId="169" fontId="0" fillId="0" borderId="43" xfId="2" applyNumberFormat="1" applyFont="1" applyFill="1" applyBorder="1" applyAlignment="1">
      <alignment vertical="center"/>
    </xf>
    <xf numFmtId="169" fontId="0" fillId="0" borderId="0" xfId="2" applyNumberFormat="1" applyFont="1" applyFill="1" applyBorder="1" applyAlignment="1">
      <alignment vertical="center"/>
    </xf>
    <xf numFmtId="169" fontId="23" fillId="0" borderId="0" xfId="2" applyNumberFormat="1" applyFont="1" applyFill="1" applyBorder="1" applyAlignment="1">
      <alignment vertical="center"/>
    </xf>
    <xf numFmtId="42" fontId="23" fillId="0" borderId="43" xfId="2" applyNumberFormat="1" applyFont="1" applyFill="1" applyBorder="1" applyAlignment="1">
      <alignment vertical="center"/>
    </xf>
    <xf numFmtId="42" fontId="23" fillId="0" borderId="0" xfId="2" applyNumberFormat="1" applyFont="1" applyFill="1" applyBorder="1" applyAlignment="1">
      <alignment vertical="center"/>
    </xf>
    <xf numFmtId="164" fontId="26" fillId="0" borderId="13" xfId="3" applyNumberFormat="1" applyFont="1" applyBorder="1" applyAlignment="1">
      <alignment horizontal="right" vertical="center"/>
    </xf>
    <xf numFmtId="164" fontId="0" fillId="0" borderId="43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73" fontId="0" fillId="0" borderId="0" xfId="9" applyNumberFormat="1" applyFont="1" applyFill="1" applyBorder="1"/>
    <xf numFmtId="164" fontId="0" fillId="0" borderId="12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73" fontId="0" fillId="0" borderId="11" xfId="9" applyNumberFormat="1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1" xfId="0" applyFill="1" applyBorder="1" applyAlignment="1">
      <alignment horizontal="center" vertical="center"/>
    </xf>
    <xf numFmtId="164" fontId="0" fillId="0" borderId="91" xfId="0" applyNumberFormat="1" applyFill="1" applyBorder="1" applyAlignment="1">
      <alignment horizontal="center" vertical="center"/>
    </xf>
    <xf numFmtId="173" fontId="0" fillId="0" borderId="62" xfId="9" applyNumberFormat="1" applyFont="1" applyFill="1" applyBorder="1"/>
    <xf numFmtId="0" fontId="26" fillId="0" borderId="0" xfId="0" applyFont="1" applyFill="1"/>
    <xf numFmtId="9" fontId="26" fillId="0" borderId="0" xfId="0" applyNumberFormat="1" applyFont="1" applyFill="1"/>
    <xf numFmtId="0" fontId="0" fillId="0" borderId="40" xfId="0" applyBorder="1" applyAlignment="1">
      <alignment horizontal="center" vertical="center" wrapText="1"/>
    </xf>
    <xf numFmtId="9" fontId="0" fillId="0" borderId="5" xfId="0" applyNumberFormat="1" applyFill="1" applyBorder="1" applyAlignment="1">
      <alignment horizontal="center" vertical="center"/>
    </xf>
    <xf numFmtId="9" fontId="0" fillId="0" borderId="55" xfId="0" applyNumberFormat="1" applyFill="1" applyBorder="1" applyAlignment="1">
      <alignment horizontal="center" vertical="center"/>
    </xf>
    <xf numFmtId="166" fontId="0" fillId="0" borderId="0" xfId="0" applyNumberFormat="1"/>
    <xf numFmtId="166" fontId="0" fillId="0" borderId="0" xfId="0" applyNumberFormat="1" applyFill="1"/>
    <xf numFmtId="164" fontId="0" fillId="0" borderId="0" xfId="3" applyNumberFormat="1" applyFont="1" applyFill="1" applyBorder="1" applyAlignment="1">
      <alignment horizontal="center"/>
    </xf>
    <xf numFmtId="164" fontId="0" fillId="0" borderId="0" xfId="3" applyNumberFormat="1" applyFont="1" applyAlignment="1">
      <alignment horizontal="center"/>
    </xf>
    <xf numFmtId="9" fontId="0" fillId="0" borderId="54" xfId="0" applyNumberFormat="1" applyFill="1" applyBorder="1" applyAlignment="1">
      <alignment horizontal="center" vertical="center"/>
    </xf>
    <xf numFmtId="173" fontId="0" fillId="0" borderId="24" xfId="9" applyNumberFormat="1" applyFont="1" applyFill="1" applyBorder="1"/>
    <xf numFmtId="173" fontId="0" fillId="0" borderId="66" xfId="9" applyNumberFormat="1" applyFont="1" applyFill="1" applyBorder="1"/>
    <xf numFmtId="174" fontId="0" fillId="0" borderId="0" xfId="0" applyNumberFormat="1" applyBorder="1" applyAlignment="1"/>
    <xf numFmtId="174" fontId="0" fillId="0" borderId="64" xfId="0" applyNumberFormat="1" applyBorder="1" applyAlignment="1"/>
    <xf numFmtId="174" fontId="0" fillId="0" borderId="66" xfId="0" applyNumberFormat="1" applyBorder="1" applyAlignment="1"/>
    <xf numFmtId="174" fontId="0" fillId="0" borderId="62" xfId="0" applyNumberFormat="1" applyBorder="1" applyAlignment="1"/>
    <xf numFmtId="0" fontId="0" fillId="0" borderId="45" xfId="0" applyBorder="1"/>
    <xf numFmtId="0" fontId="0" fillId="0" borderId="62" xfId="0" applyBorder="1"/>
    <xf numFmtId="9" fontId="0" fillId="0" borderId="0" xfId="0" applyNumberFormat="1" applyFill="1" applyBorder="1" applyAlignment="1">
      <alignment horizontal="center" vertical="center"/>
    </xf>
    <xf numFmtId="9" fontId="0" fillId="0" borderId="62" xfId="0" applyNumberFormat="1" applyFill="1" applyBorder="1" applyAlignment="1">
      <alignment horizontal="center" vertical="center"/>
    </xf>
    <xf numFmtId="0" fontId="16" fillId="5" borderId="26" xfId="0" applyFont="1" applyFill="1" applyBorder="1"/>
    <xf numFmtId="10" fontId="11" fillId="0" borderId="0" xfId="0" applyNumberFormat="1" applyFont="1" applyFill="1" applyAlignment="1">
      <alignment horizontal="right" vertical="center"/>
    </xf>
    <xf numFmtId="0" fontId="0" fillId="0" borderId="3" xfId="0" applyBorder="1" applyAlignment="1">
      <alignment horizontal="center" vertical="center" wrapText="1"/>
    </xf>
    <xf numFmtId="166" fontId="0" fillId="0" borderId="0" xfId="9" applyNumberFormat="1" applyFont="1" applyFill="1" applyBorder="1"/>
    <xf numFmtId="166" fontId="0" fillId="28" borderId="5" xfId="9" applyNumberFormat="1" applyFont="1" applyFill="1" applyBorder="1"/>
    <xf numFmtId="164" fontId="2" fillId="0" borderId="0" xfId="3" applyNumberFormat="1" applyFont="1" applyBorder="1" applyAlignment="1">
      <alignment horizontal="center"/>
    </xf>
    <xf numFmtId="174" fontId="0" fillId="0" borderId="0" xfId="0" applyNumberFormat="1" applyFill="1" applyBorder="1" applyAlignment="1"/>
    <xf numFmtId="174" fontId="0" fillId="0" borderId="64" xfId="0" applyNumberFormat="1" applyFill="1" applyBorder="1" applyAlignment="1"/>
    <xf numFmtId="9" fontId="0" fillId="28" borderId="45" xfId="0" applyNumberFormat="1" applyFill="1" applyBorder="1" applyAlignment="1">
      <alignment horizontal="center" vertical="center"/>
    </xf>
    <xf numFmtId="0" fontId="0" fillId="28" borderId="45" xfId="0" applyFill="1" applyBorder="1"/>
    <xf numFmtId="0" fontId="0" fillId="28" borderId="46" xfId="0" applyFill="1" applyBorder="1"/>
    <xf numFmtId="166" fontId="0" fillId="29" borderId="13" xfId="9" applyNumberFormat="1" applyFont="1" applyFill="1" applyBorder="1"/>
    <xf numFmtId="164" fontId="0" fillId="29" borderId="41" xfId="0" applyNumberFormat="1" applyFill="1" applyBorder="1" applyAlignment="1">
      <alignment horizontal="center" vertical="center"/>
    </xf>
    <xf numFmtId="164" fontId="0" fillId="29" borderId="51" xfId="0" applyNumberFormat="1" applyFill="1" applyBorder="1" applyAlignment="1">
      <alignment horizontal="center" vertical="center"/>
    </xf>
    <xf numFmtId="9" fontId="0" fillId="29" borderId="8" xfId="0" applyNumberFormat="1" applyFill="1" applyBorder="1" applyAlignment="1">
      <alignment horizontal="center" vertical="center"/>
    </xf>
    <xf numFmtId="173" fontId="0" fillId="29" borderId="41" xfId="9" applyNumberFormat="1" applyFont="1" applyFill="1" applyBorder="1"/>
    <xf numFmtId="173" fontId="0" fillId="29" borderId="52" xfId="9" applyNumberFormat="1" applyFont="1" applyFill="1" applyBorder="1"/>
    <xf numFmtId="0" fontId="0" fillId="0" borderId="0" xfId="0" applyFill="1" applyAlignment="1">
      <alignment horizontal="center" vertical="center" wrapText="1"/>
    </xf>
    <xf numFmtId="0" fontId="9" fillId="0" borderId="58" xfId="0" applyFont="1" applyFill="1" applyBorder="1" applyAlignment="1">
      <alignment vertical="center"/>
    </xf>
    <xf numFmtId="0" fontId="9" fillId="0" borderId="58" xfId="0" applyFont="1" applyFill="1" applyBorder="1" applyAlignment="1">
      <alignment horizontal="center" vertical="center"/>
    </xf>
    <xf numFmtId="164" fontId="2" fillId="0" borderId="0" xfId="3" applyNumberFormat="1" applyFont="1" applyFill="1" applyBorder="1" applyAlignment="1">
      <alignment horizontal="center"/>
    </xf>
    <xf numFmtId="164" fontId="2" fillId="0" borderId="0" xfId="3" applyNumberFormat="1" applyFont="1" applyAlignment="1">
      <alignment horizontal="center"/>
    </xf>
    <xf numFmtId="164" fontId="2" fillId="0" borderId="0" xfId="3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5" xfId="0" applyFill="1" applyBorder="1" applyAlignment="1">
      <alignment horizontal="center"/>
    </xf>
    <xf numFmtId="174" fontId="0" fillId="5" borderId="5" xfId="0" applyNumberFormat="1" applyFill="1" applyBorder="1" applyAlignment="1">
      <alignment horizontal="center"/>
    </xf>
    <xf numFmtId="164" fontId="0" fillId="5" borderId="5" xfId="3" applyNumberFormat="1" applyFont="1" applyFill="1" applyBorder="1" applyAlignment="1">
      <alignment horizontal="center"/>
    </xf>
    <xf numFmtId="0" fontId="30" fillId="0" borderId="55" xfId="0" applyFont="1" applyBorder="1"/>
    <xf numFmtId="41" fontId="30" fillId="0" borderId="55" xfId="1" applyFont="1" applyBorder="1"/>
    <xf numFmtId="42" fontId="26" fillId="0" borderId="11" xfId="0" applyNumberFormat="1" applyFont="1" applyFill="1" applyBorder="1"/>
    <xf numFmtId="42" fontId="26" fillId="0" borderId="39" xfId="2" applyNumberFormat="1" applyFont="1" applyBorder="1" applyAlignment="1">
      <alignment horizontal="center" vertical="center"/>
    </xf>
    <xf numFmtId="9" fontId="16" fillId="0" borderId="0" xfId="3" applyNumberFormat="1" applyFont="1" applyAlignment="1">
      <alignment horizontal="center"/>
    </xf>
    <xf numFmtId="164" fontId="0" fillId="0" borderId="0" xfId="3" applyNumberFormat="1" applyFont="1" applyAlignment="1">
      <alignment vertical="center"/>
    </xf>
    <xf numFmtId="164" fontId="0" fillId="0" borderId="39" xfId="3" applyNumberFormat="1" applyFont="1" applyFill="1" applyBorder="1" applyAlignment="1">
      <alignment horizontal="right" vertical="center"/>
    </xf>
    <xf numFmtId="166" fontId="2" fillId="20" borderId="44" xfId="9" applyNumberFormat="1" applyFont="1" applyFill="1" applyBorder="1" applyAlignment="1"/>
    <xf numFmtId="166" fontId="2" fillId="20" borderId="44" xfId="9" applyNumberFormat="1" applyFont="1" applyFill="1" applyBorder="1"/>
    <xf numFmtId="166" fontId="2" fillId="0" borderId="44" xfId="9" applyNumberFormat="1" applyFont="1" applyBorder="1" applyAlignment="1"/>
    <xf numFmtId="166" fontId="0" fillId="0" borderId="0" xfId="9" applyNumberFormat="1" applyFont="1" applyAlignment="1">
      <alignment horizontal="center"/>
    </xf>
    <xf numFmtId="166" fontId="0" fillId="0" borderId="0" xfId="9" applyNumberFormat="1" applyFont="1" applyAlignment="1">
      <alignment wrapText="1"/>
    </xf>
    <xf numFmtId="166" fontId="2" fillId="0" borderId="0" xfId="9" applyNumberFormat="1" applyFont="1" applyFill="1" applyBorder="1" applyAlignment="1"/>
    <xf numFmtId="166" fontId="0" fillId="0" borderId="0" xfId="9" applyNumberFormat="1" applyFont="1" applyFill="1" applyBorder="1" applyAlignment="1">
      <alignment horizontal="center"/>
    </xf>
    <xf numFmtId="166" fontId="0" fillId="0" borderId="0" xfId="9" applyNumberFormat="1" applyFont="1" applyFill="1" applyBorder="1" applyAlignment="1">
      <alignment wrapText="1"/>
    </xf>
    <xf numFmtId="166" fontId="2" fillId="0" borderId="0" xfId="9" applyNumberFormat="1" applyFont="1" applyFill="1" applyBorder="1"/>
    <xf numFmtId="166" fontId="2" fillId="0" borderId="0" xfId="9" applyNumberFormat="1" applyFont="1" applyFill="1" applyBorder="1" applyAlignment="1">
      <alignment horizontal="center"/>
    </xf>
    <xf numFmtId="166" fontId="2" fillId="0" borderId="0" xfId="9" applyNumberFormat="1" applyFont="1" applyFill="1" applyBorder="1" applyAlignment="1">
      <alignment wrapText="1"/>
    </xf>
    <xf numFmtId="166" fontId="0" fillId="0" borderId="0" xfId="9" applyNumberFormat="1" applyFont="1" applyFill="1" applyBorder="1" applyAlignment="1"/>
    <xf numFmtId="166" fontId="0" fillId="0" borderId="0" xfId="9" applyNumberFormat="1" applyFont="1" applyAlignment="1"/>
    <xf numFmtId="166" fontId="0" fillId="0" borderId="0" xfId="9" applyNumberFormat="1" applyFont="1" applyFill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NumberFormat="1" applyFont="1" applyFill="1" applyBorder="1" applyAlignment="1" applyProtection="1"/>
    <xf numFmtId="14" fontId="6" fillId="0" borderId="0" xfId="0" applyNumberFormat="1" applyFont="1" applyFill="1" applyBorder="1" applyAlignment="1" applyProtection="1"/>
    <xf numFmtId="0" fontId="0" fillId="0" borderId="23" xfId="0" applyFont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3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41" fontId="0" fillId="0" borderId="57" xfId="1" applyFont="1" applyBorder="1" applyAlignment="1">
      <alignment horizontal="right" vertical="center"/>
    </xf>
    <xf numFmtId="166" fontId="0" fillId="0" borderId="39" xfId="9" applyNumberFormat="1" applyFont="1" applyFill="1" applyBorder="1" applyAlignment="1">
      <alignment vertical="center"/>
    </xf>
    <xf numFmtId="166" fontId="0" fillId="0" borderId="11" xfId="9" applyNumberFormat="1" applyFont="1" applyFill="1" applyBorder="1" applyAlignment="1">
      <alignment vertical="center"/>
    </xf>
    <xf numFmtId="164" fontId="0" fillId="0" borderId="17" xfId="3" applyNumberFormat="1" applyFont="1" applyFill="1" applyBorder="1" applyAlignment="1">
      <alignment vertical="center"/>
    </xf>
    <xf numFmtId="42" fontId="0" fillId="0" borderId="39" xfId="2" applyFont="1" applyBorder="1" applyAlignment="1">
      <alignment vertical="center"/>
    </xf>
    <xf numFmtId="164" fontId="0" fillId="0" borderId="39" xfId="3" applyNumberFormat="1" applyFont="1" applyBorder="1" applyAlignment="1">
      <alignment vertical="center"/>
    </xf>
    <xf numFmtId="164" fontId="0" fillId="0" borderId="13" xfId="3" applyNumberFormat="1" applyFont="1" applyFill="1" applyBorder="1" applyAlignment="1">
      <alignment vertical="center"/>
    </xf>
    <xf numFmtId="9" fontId="0" fillId="0" borderId="39" xfId="3" applyFont="1" applyFill="1" applyBorder="1" applyAlignment="1">
      <alignment horizontal="center" vertical="center"/>
    </xf>
    <xf numFmtId="42" fontId="0" fillId="0" borderId="5" xfId="2" applyFont="1" applyBorder="1" applyAlignment="1">
      <alignment horizontal="center" vertical="center"/>
    </xf>
    <xf numFmtId="42" fontId="21" fillId="5" borderId="69" xfId="2" applyFont="1" applyFill="1" applyBorder="1" applyAlignment="1">
      <alignment horizontal="center" vertical="center"/>
    </xf>
    <xf numFmtId="0" fontId="31" fillId="5" borderId="0" xfId="0" applyNumberFormat="1" applyFont="1" applyFill="1" applyBorder="1" applyAlignment="1" applyProtection="1"/>
    <xf numFmtId="172" fontId="0" fillId="5" borderId="5" xfId="0" applyNumberForma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9" fontId="32" fillId="24" borderId="73" xfId="3" applyNumberFormat="1" applyFont="1" applyFill="1" applyBorder="1" applyAlignment="1">
      <alignment horizontal="center"/>
    </xf>
    <xf numFmtId="9" fontId="32" fillId="24" borderId="74" xfId="3" applyNumberFormat="1" applyFont="1" applyFill="1" applyBorder="1" applyAlignment="1">
      <alignment horizontal="center"/>
    </xf>
    <xf numFmtId="9" fontId="32" fillId="24" borderId="75" xfId="3" applyNumberFormat="1" applyFont="1" applyFill="1" applyBorder="1" applyAlignment="1">
      <alignment horizontal="center"/>
    </xf>
    <xf numFmtId="0" fontId="19" fillId="0" borderId="43" xfId="0" applyFont="1" applyBorder="1" applyAlignment="1">
      <alignment horizontal="center"/>
    </xf>
    <xf numFmtId="0" fontId="30" fillId="0" borderId="43" xfId="0" applyFont="1" applyBorder="1" applyAlignment="1">
      <alignment horizontal="center"/>
    </xf>
    <xf numFmtId="0" fontId="19" fillId="0" borderId="42" xfId="0" applyFont="1" applyBorder="1" applyAlignment="1">
      <alignment horizontal="center"/>
    </xf>
    <xf numFmtId="0" fontId="0" fillId="0" borderId="41" xfId="0" applyFill="1" applyBorder="1" applyAlignment="1">
      <alignment horizontal="center" vertical="center"/>
    </xf>
    <xf numFmtId="164" fontId="0" fillId="0" borderId="51" xfId="0" applyNumberFormat="1" applyFill="1" applyBorder="1" applyAlignment="1">
      <alignment horizontal="center" vertical="center"/>
    </xf>
    <xf numFmtId="9" fontId="0" fillId="0" borderId="8" xfId="0" applyNumberFormat="1" applyFill="1" applyBorder="1" applyAlignment="1">
      <alignment horizontal="center" vertical="center"/>
    </xf>
    <xf numFmtId="173" fontId="0" fillId="0" borderId="45" xfId="9" applyNumberFormat="1" applyFont="1" applyFill="1" applyBorder="1"/>
    <xf numFmtId="173" fontId="0" fillId="0" borderId="46" xfId="9" applyNumberFormat="1" applyFont="1" applyFill="1" applyBorder="1"/>
    <xf numFmtId="175" fontId="0" fillId="5" borderId="5" xfId="0" applyNumberFormat="1" applyFill="1" applyBorder="1" applyAlignment="1">
      <alignment horizontal="center" vertical="center"/>
    </xf>
    <xf numFmtId="173" fontId="0" fillId="0" borderId="12" xfId="9" applyNumberFormat="1" applyFont="1" applyFill="1" applyBorder="1" applyAlignment="1">
      <alignment vertical="center"/>
    </xf>
    <xf numFmtId="42" fontId="26" fillId="0" borderId="12" xfId="0" applyNumberFormat="1" applyFont="1" applyFill="1" applyBorder="1"/>
    <xf numFmtId="9" fontId="26" fillId="0" borderId="13" xfId="3" applyFont="1" applyFill="1" applyBorder="1" applyAlignment="1">
      <alignment vertical="center"/>
    </xf>
    <xf numFmtId="42" fontId="26" fillId="0" borderId="14" xfId="2" applyFont="1" applyFill="1" applyBorder="1" applyAlignment="1">
      <alignment vertical="center"/>
    </xf>
    <xf numFmtId="42" fontId="26" fillId="0" borderId="19" xfId="2" applyFont="1" applyFill="1" applyBorder="1" applyAlignment="1">
      <alignment vertical="center"/>
    </xf>
    <xf numFmtId="9" fontId="26" fillId="0" borderId="15" xfId="3" applyNumberFormat="1" applyFont="1" applyFill="1" applyBorder="1" applyAlignment="1">
      <alignment vertical="center"/>
    </xf>
    <xf numFmtId="42" fontId="26" fillId="0" borderId="43" xfId="2" applyFont="1" applyFill="1" applyBorder="1" applyAlignment="1">
      <alignment vertical="center"/>
    </xf>
    <xf numFmtId="42" fontId="26" fillId="0" borderId="0" xfId="2" applyFont="1" applyFill="1" applyBorder="1" applyAlignment="1">
      <alignment vertical="center"/>
    </xf>
    <xf numFmtId="9" fontId="26" fillId="0" borderId="16" xfId="3" applyNumberFormat="1" applyFont="1" applyFill="1" applyBorder="1" applyAlignment="1">
      <alignment vertical="center"/>
    </xf>
    <xf numFmtId="42" fontId="26" fillId="0" borderId="17" xfId="2" applyFont="1" applyFill="1" applyBorder="1" applyAlignment="1">
      <alignment horizontal="center" vertical="center"/>
    </xf>
    <xf numFmtId="42" fontId="26" fillId="0" borderId="12" xfId="2" applyFont="1" applyFill="1" applyBorder="1" applyAlignment="1">
      <alignment horizontal="center" vertical="center"/>
    </xf>
    <xf numFmtId="164" fontId="2" fillId="29" borderId="5" xfId="3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42" fontId="26" fillId="0" borderId="39" xfId="2" applyFont="1" applyFill="1" applyBorder="1" applyAlignment="1">
      <alignment horizontal="center" vertical="center"/>
    </xf>
    <xf numFmtId="42" fontId="21" fillId="5" borderId="64" xfId="2" applyFont="1" applyFill="1" applyBorder="1" applyAlignment="1">
      <alignment horizontal="center" vertical="center"/>
    </xf>
    <xf numFmtId="42" fontId="21" fillId="5" borderId="66" xfId="2" applyFont="1" applyFill="1" applyBorder="1" applyAlignment="1">
      <alignment horizontal="center" vertical="center"/>
    </xf>
    <xf numFmtId="167" fontId="11" fillId="0" borderId="0" xfId="10" applyNumberFormat="1" applyFont="1" applyFill="1" applyAlignment="1">
      <alignment horizontal="right" vertical="center"/>
    </xf>
    <xf numFmtId="167" fontId="0" fillId="0" borderId="0" xfId="10" applyNumberFormat="1" applyFont="1" applyFill="1"/>
    <xf numFmtId="42" fontId="0" fillId="0" borderId="45" xfId="2" applyFont="1" applyBorder="1" applyAlignment="1">
      <alignment horizontal="center" vertical="center"/>
    </xf>
    <xf numFmtId="0" fontId="0" fillId="28" borderId="1" xfId="0" applyFont="1" applyFill="1" applyBorder="1" applyAlignment="1">
      <alignment horizontal="center" vertical="center"/>
    </xf>
    <xf numFmtId="0" fontId="0" fillId="28" borderId="74" xfId="0" applyFont="1" applyFill="1" applyBorder="1" applyAlignment="1">
      <alignment vertical="center"/>
    </xf>
    <xf numFmtId="0" fontId="0" fillId="28" borderId="45" xfId="0" applyFont="1" applyFill="1" applyBorder="1" applyAlignment="1">
      <alignment vertical="center"/>
    </xf>
    <xf numFmtId="42" fontId="0" fillId="28" borderId="45" xfId="2" applyFont="1" applyFill="1" applyBorder="1" applyAlignment="1">
      <alignment vertical="center"/>
    </xf>
    <xf numFmtId="164" fontId="0" fillId="28" borderId="45" xfId="3" applyNumberFormat="1" applyFont="1" applyFill="1" applyBorder="1" applyAlignment="1">
      <alignment horizontal="right" vertical="center"/>
    </xf>
    <xf numFmtId="42" fontId="0" fillId="28" borderId="75" xfId="2" applyFont="1" applyFill="1" applyBorder="1" applyAlignment="1">
      <alignment vertical="center"/>
    </xf>
    <xf numFmtId="164" fontId="0" fillId="28" borderId="73" xfId="3" applyNumberFormat="1" applyFont="1" applyFill="1" applyBorder="1" applyAlignment="1">
      <alignment vertical="center"/>
    </xf>
    <xf numFmtId="164" fontId="0" fillId="28" borderId="45" xfId="3" applyNumberFormat="1" applyFont="1" applyFill="1" applyBorder="1" applyAlignment="1">
      <alignment vertical="center"/>
    </xf>
    <xf numFmtId="169" fontId="0" fillId="28" borderId="75" xfId="2" applyNumberFormat="1" applyFont="1" applyFill="1" applyBorder="1" applyAlignment="1">
      <alignment vertical="center"/>
    </xf>
    <xf numFmtId="169" fontId="0" fillId="28" borderId="45" xfId="2" applyNumberFormat="1" applyFont="1" applyFill="1" applyBorder="1" applyAlignment="1">
      <alignment vertical="center"/>
    </xf>
    <xf numFmtId="164" fontId="0" fillId="28" borderId="75" xfId="3" applyNumberFormat="1" applyFont="1" applyFill="1" applyBorder="1" applyAlignment="1">
      <alignment horizontal="center" vertical="center"/>
    </xf>
    <xf numFmtId="164" fontId="0" fillId="28" borderId="45" xfId="3" applyNumberFormat="1" applyFont="1" applyFill="1" applyBorder="1" applyAlignment="1">
      <alignment horizontal="center" vertical="center"/>
    </xf>
    <xf numFmtId="164" fontId="0" fillId="28" borderId="73" xfId="3" applyNumberFormat="1" applyFont="1" applyFill="1" applyBorder="1" applyAlignment="1">
      <alignment horizontal="center" vertical="center"/>
    </xf>
    <xf numFmtId="9" fontId="0" fillId="28" borderId="45" xfId="3" applyFont="1" applyFill="1" applyBorder="1" applyAlignment="1">
      <alignment horizontal="center" vertical="center"/>
    </xf>
    <xf numFmtId="42" fontId="0" fillId="28" borderId="74" xfId="2" applyFont="1" applyFill="1" applyBorder="1" applyAlignment="1">
      <alignment horizontal="center" vertical="center"/>
    </xf>
    <xf numFmtId="42" fontId="0" fillId="28" borderId="45" xfId="2" applyFont="1" applyFill="1" applyBorder="1" applyAlignment="1">
      <alignment horizontal="center" vertical="center"/>
    </xf>
    <xf numFmtId="0" fontId="0" fillId="28" borderId="65" xfId="0" applyFont="1" applyFill="1" applyBorder="1" applyAlignment="1">
      <alignment horizontal="center" vertical="center"/>
    </xf>
    <xf numFmtId="0" fontId="0" fillId="28" borderId="72" xfId="0" applyFont="1" applyFill="1" applyBorder="1" applyAlignment="1">
      <alignment vertical="center"/>
    </xf>
    <xf numFmtId="0" fontId="0" fillId="28" borderId="62" xfId="0" applyFont="1" applyFill="1" applyBorder="1" applyAlignment="1">
      <alignment vertical="center"/>
    </xf>
    <xf numFmtId="42" fontId="0" fillId="28" borderId="62" xfId="2" applyFont="1" applyFill="1" applyBorder="1" applyAlignment="1">
      <alignment vertical="center"/>
    </xf>
    <xf numFmtId="164" fontId="0" fillId="28" borderId="62" xfId="3" applyNumberFormat="1" applyFont="1" applyFill="1" applyBorder="1" applyAlignment="1">
      <alignment horizontal="right" vertical="center"/>
    </xf>
    <xf numFmtId="42" fontId="0" fillId="28" borderId="76" xfId="2" applyFont="1" applyFill="1" applyBorder="1" applyAlignment="1">
      <alignment vertical="center"/>
    </xf>
    <xf numFmtId="164" fontId="0" fillId="28" borderId="77" xfId="3" applyNumberFormat="1" applyFont="1" applyFill="1" applyBorder="1" applyAlignment="1">
      <alignment vertical="center"/>
    </xf>
    <xf numFmtId="0" fontId="0" fillId="28" borderId="62" xfId="0" applyFill="1" applyBorder="1" applyAlignment="1">
      <alignment vertical="center"/>
    </xf>
    <xf numFmtId="169" fontId="0" fillId="28" borderId="76" xfId="2" applyNumberFormat="1" applyFont="1" applyFill="1" applyBorder="1" applyAlignment="1">
      <alignment vertical="center"/>
    </xf>
    <xf numFmtId="169" fontId="0" fillId="28" borderId="62" xfId="2" applyNumberFormat="1" applyFont="1" applyFill="1" applyBorder="1" applyAlignment="1">
      <alignment vertical="center"/>
    </xf>
    <xf numFmtId="164" fontId="0" fillId="28" borderId="76" xfId="3" applyNumberFormat="1" applyFont="1" applyFill="1" applyBorder="1" applyAlignment="1">
      <alignment horizontal="center" vertical="center"/>
    </xf>
    <xf numFmtId="164" fontId="0" fillId="28" borderId="62" xfId="3" applyNumberFormat="1" applyFont="1" applyFill="1" applyBorder="1" applyAlignment="1">
      <alignment horizontal="center" vertical="center"/>
    </xf>
    <xf numFmtId="164" fontId="0" fillId="28" borderId="77" xfId="3" applyNumberFormat="1" applyFont="1" applyFill="1" applyBorder="1" applyAlignment="1">
      <alignment horizontal="center" vertical="center"/>
    </xf>
    <xf numFmtId="9" fontId="0" fillId="28" borderId="62" xfId="3" applyFont="1" applyFill="1" applyBorder="1" applyAlignment="1">
      <alignment horizontal="center" vertical="center"/>
    </xf>
    <xf numFmtId="42" fontId="0" fillId="28" borderId="72" xfId="2" applyFont="1" applyFill="1" applyBorder="1" applyAlignment="1">
      <alignment horizontal="center" vertical="center"/>
    </xf>
    <xf numFmtId="42" fontId="0" fillId="28" borderId="62" xfId="2" applyFont="1" applyFill="1" applyBorder="1" applyAlignment="1">
      <alignment horizontal="center" vertical="center"/>
    </xf>
    <xf numFmtId="42" fontId="2" fillId="3" borderId="19" xfId="2" applyFont="1" applyFill="1" applyBorder="1" applyAlignment="1">
      <alignment horizontal="center"/>
    </xf>
    <xf numFmtId="42" fontId="0" fillId="0" borderId="0" xfId="2" applyNumberFormat="1" applyFont="1" applyFill="1" applyBorder="1" applyAlignment="1">
      <alignment vertical="center"/>
    </xf>
    <xf numFmtId="42" fontId="0" fillId="0" borderId="0" xfId="2" applyNumberFormat="1" applyFont="1" applyBorder="1" applyAlignment="1">
      <alignment vertical="center"/>
    </xf>
    <xf numFmtId="42" fontId="0" fillId="0" borderId="19" xfId="2" applyNumberFormat="1" applyFont="1" applyFill="1" applyBorder="1" applyAlignment="1">
      <alignment vertical="center"/>
    </xf>
    <xf numFmtId="42" fontId="0" fillId="28" borderId="45" xfId="2" applyNumberFormat="1" applyFont="1" applyFill="1" applyBorder="1" applyAlignment="1">
      <alignment vertical="center"/>
    </xf>
    <xf numFmtId="42" fontId="0" fillId="28" borderId="62" xfId="2" applyNumberFormat="1" applyFont="1" applyFill="1" applyBorder="1" applyAlignment="1">
      <alignment vertical="center"/>
    </xf>
    <xf numFmtId="9" fontId="14" fillId="0" borderId="0" xfId="0" applyNumberFormat="1" applyFont="1" applyFill="1" applyBorder="1" applyAlignment="1">
      <alignment horizontal="center" vertical="center"/>
    </xf>
    <xf numFmtId="0" fontId="0" fillId="5" borderId="39" xfId="0" applyFont="1" applyFill="1" applyBorder="1" applyAlignment="1">
      <alignment horizontal="center" vertical="center"/>
    </xf>
    <xf numFmtId="0" fontId="0" fillId="30" borderId="19" xfId="0" applyFont="1" applyFill="1" applyBorder="1" applyAlignment="1">
      <alignment horizontal="center" vertical="center"/>
    </xf>
    <xf numFmtId="0" fontId="26" fillId="30" borderId="14" xfId="0" applyFont="1" applyFill="1" applyBorder="1" applyAlignment="1">
      <alignment vertical="center"/>
    </xf>
    <xf numFmtId="42" fontId="26" fillId="30" borderId="15" xfId="2" applyFont="1" applyFill="1" applyBorder="1" applyAlignment="1">
      <alignment horizontal="center" vertical="center"/>
    </xf>
    <xf numFmtId="0" fontId="0" fillId="30" borderId="0" xfId="0" applyFont="1" applyFill="1" applyBorder="1" applyAlignment="1">
      <alignment horizontal="center" vertical="center"/>
    </xf>
    <xf numFmtId="0" fontId="26" fillId="30" borderId="43" xfId="0" applyFont="1" applyFill="1" applyBorder="1" applyAlignment="1">
      <alignment vertical="center"/>
    </xf>
    <xf numFmtId="42" fontId="26" fillId="30" borderId="16" xfId="2" applyFont="1" applyFill="1" applyBorder="1" applyAlignment="1">
      <alignment horizontal="center" vertical="center"/>
    </xf>
    <xf numFmtId="42" fontId="26" fillId="26" borderId="19" xfId="2" applyFont="1" applyFill="1" applyBorder="1" applyAlignment="1">
      <alignment horizontal="center" vertical="center"/>
    </xf>
    <xf numFmtId="42" fontId="26" fillId="26" borderId="0" xfId="2" applyFont="1" applyFill="1" applyBorder="1" applyAlignment="1">
      <alignment horizontal="center" vertical="center"/>
    </xf>
    <xf numFmtId="42" fontId="1" fillId="30" borderId="15" xfId="2" applyFont="1" applyFill="1" applyBorder="1" applyAlignment="1">
      <alignment horizontal="center" vertical="center"/>
    </xf>
    <xf numFmtId="42" fontId="1" fillId="30" borderId="16" xfId="2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42" fontId="19" fillId="26" borderId="55" xfId="2" applyFont="1" applyFill="1" applyBorder="1"/>
    <xf numFmtId="42" fontId="30" fillId="26" borderId="55" xfId="2" applyFont="1" applyFill="1" applyBorder="1"/>
    <xf numFmtId="174" fontId="0" fillId="0" borderId="0" xfId="0" applyNumberFormat="1"/>
    <xf numFmtId="42" fontId="19" fillId="0" borderId="43" xfId="0" applyNumberFormat="1" applyFont="1" applyBorder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20" fillId="17" borderId="11" xfId="0" applyFont="1" applyFill="1" applyBorder="1" applyAlignment="1">
      <alignment horizontal="center" vertical="center" wrapText="1"/>
    </xf>
    <xf numFmtId="42" fontId="20" fillId="17" borderId="5" xfId="2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42" fontId="19" fillId="0" borderId="0" xfId="2" applyFont="1" applyBorder="1" applyAlignment="1">
      <alignment vertical="center" wrapText="1"/>
    </xf>
    <xf numFmtId="167" fontId="19" fillId="0" borderId="43" xfId="10" applyNumberFormat="1" applyFont="1" applyBorder="1" applyAlignment="1">
      <alignment horizontal="center"/>
    </xf>
    <xf numFmtId="42" fontId="30" fillId="0" borderId="43" xfId="0" applyNumberFormat="1" applyFont="1" applyBorder="1" applyAlignment="1">
      <alignment horizontal="center"/>
    </xf>
    <xf numFmtId="167" fontId="19" fillId="0" borderId="55" xfId="10" applyNumberFormat="1" applyFont="1" applyBorder="1" applyAlignment="1">
      <alignment horizontal="center"/>
    </xf>
    <xf numFmtId="42" fontId="19" fillId="0" borderId="55" xfId="0" applyNumberFormat="1" applyFont="1" applyBorder="1" applyAlignment="1">
      <alignment horizontal="center"/>
    </xf>
    <xf numFmtId="42" fontId="30" fillId="0" borderId="55" xfId="0" applyNumberFormat="1" applyFont="1" applyBorder="1" applyAlignment="1">
      <alignment horizontal="center"/>
    </xf>
    <xf numFmtId="42" fontId="19" fillId="0" borderId="7" xfId="0" applyNumberFormat="1" applyFont="1" applyBorder="1" applyAlignment="1">
      <alignment horizontal="center"/>
    </xf>
    <xf numFmtId="42" fontId="30" fillId="0" borderId="7" xfId="0" applyNumberFormat="1" applyFont="1" applyBorder="1" applyAlignment="1">
      <alignment horizontal="center"/>
    </xf>
    <xf numFmtId="0" fontId="20" fillId="0" borderId="5" xfId="0" applyFont="1" applyBorder="1" applyAlignment="1"/>
    <xf numFmtId="42" fontId="30" fillId="26" borderId="7" xfId="2" applyFont="1" applyFill="1" applyBorder="1"/>
    <xf numFmtId="167" fontId="19" fillId="0" borderId="0" xfId="10" applyNumberFormat="1" applyFont="1" applyBorder="1" applyAlignment="1">
      <alignment horizontal="center"/>
    </xf>
    <xf numFmtId="42" fontId="20" fillId="5" borderId="5" xfId="2" applyFont="1" applyFill="1" applyBorder="1" applyAlignment="1">
      <alignment horizontal="center" vertical="center" wrapText="1"/>
    </xf>
    <xf numFmtId="42" fontId="19" fillId="13" borderId="55" xfId="2" applyFont="1" applyFill="1" applyBorder="1"/>
    <xf numFmtId="42" fontId="30" fillId="13" borderId="55" xfId="2" applyFont="1" applyFill="1" applyBorder="1"/>
    <xf numFmtId="42" fontId="19" fillId="13" borderId="7" xfId="2" applyFont="1" applyFill="1" applyBorder="1"/>
    <xf numFmtId="0" fontId="13" fillId="5" borderId="11" xfId="0" applyFont="1" applyFill="1" applyBorder="1" applyAlignment="1">
      <alignment horizontal="right"/>
    </xf>
    <xf numFmtId="166" fontId="2" fillId="0" borderId="44" xfId="9" applyNumberFormat="1" applyFont="1" applyFill="1" applyBorder="1" applyAlignment="1"/>
    <xf numFmtId="166" fontId="0" fillId="0" borderId="0" xfId="9" applyNumberFormat="1" applyFont="1" applyFill="1" applyAlignment="1">
      <alignment horizontal="center"/>
    </xf>
    <xf numFmtId="166" fontId="2" fillId="0" borderId="0" xfId="9" applyNumberFormat="1" applyFont="1" applyFill="1" applyAlignment="1"/>
    <xf numFmtId="41" fontId="21" fillId="24" borderId="40" xfId="1" applyFont="1" applyFill="1" applyBorder="1" applyAlignment="1">
      <alignment horizontal="right" vertical="center"/>
    </xf>
    <xf numFmtId="41" fontId="0" fillId="0" borderId="48" xfId="1" applyFont="1" applyBorder="1" applyAlignment="1">
      <alignment horizontal="right" vertical="center"/>
    </xf>
    <xf numFmtId="0" fontId="0" fillId="28" borderId="0" xfId="0" applyFont="1" applyFill="1" applyBorder="1" applyAlignment="1">
      <alignment vertical="center"/>
    </xf>
    <xf numFmtId="42" fontId="0" fillId="28" borderId="0" xfId="2" applyFont="1" applyFill="1" applyBorder="1" applyAlignment="1">
      <alignment vertical="center"/>
    </xf>
    <xf numFmtId="164" fontId="0" fillId="28" borderId="0" xfId="3" applyNumberFormat="1" applyFont="1" applyFill="1" applyBorder="1" applyAlignment="1">
      <alignment horizontal="right" vertical="center"/>
    </xf>
    <xf numFmtId="42" fontId="0" fillId="28" borderId="0" xfId="2" applyNumberFormat="1" applyFont="1" applyFill="1" applyBorder="1" applyAlignment="1">
      <alignment vertical="center"/>
    </xf>
    <xf numFmtId="164" fontId="0" fillId="28" borderId="0" xfId="3" applyNumberFormat="1" applyFont="1" applyFill="1" applyBorder="1" applyAlignment="1">
      <alignment vertical="center"/>
    </xf>
    <xf numFmtId="0" fontId="0" fillId="28" borderId="0" xfId="0" applyFill="1" applyBorder="1" applyAlignment="1">
      <alignment vertical="center"/>
    </xf>
    <xf numFmtId="169" fontId="0" fillId="28" borderId="0" xfId="2" applyNumberFormat="1" applyFont="1" applyFill="1" applyBorder="1" applyAlignment="1">
      <alignment vertical="center"/>
    </xf>
    <xf numFmtId="164" fontId="0" fillId="28" borderId="0" xfId="3" applyNumberFormat="1" applyFont="1" applyFill="1" applyBorder="1" applyAlignment="1">
      <alignment horizontal="center" vertical="center"/>
    </xf>
    <xf numFmtId="9" fontId="0" fillId="28" borderId="0" xfId="3" applyFont="1" applyFill="1" applyBorder="1" applyAlignment="1">
      <alignment horizontal="center" vertical="center"/>
    </xf>
    <xf numFmtId="42" fontId="0" fillId="28" borderId="0" xfId="2" applyFont="1" applyFill="1" applyBorder="1" applyAlignment="1">
      <alignment horizontal="center" vertical="center"/>
    </xf>
    <xf numFmtId="42" fontId="21" fillId="5" borderId="46" xfId="2" applyFont="1" applyFill="1" applyBorder="1" applyAlignment="1">
      <alignment horizontal="center" vertical="center"/>
    </xf>
    <xf numFmtId="0" fontId="0" fillId="28" borderId="43" xfId="0" applyFont="1" applyFill="1" applyBorder="1" applyAlignment="1">
      <alignment vertical="center"/>
    </xf>
    <xf numFmtId="0" fontId="0" fillId="28" borderId="55" xfId="0" applyFont="1" applyFill="1" applyBorder="1" applyAlignment="1">
      <alignment vertical="center"/>
    </xf>
    <xf numFmtId="41" fontId="0" fillId="28" borderId="55" xfId="1" applyFont="1" applyFill="1" applyBorder="1" applyAlignment="1">
      <alignment horizontal="right" vertical="center"/>
    </xf>
    <xf numFmtId="42" fontId="0" fillId="7" borderId="43" xfId="2" applyFont="1" applyFill="1" applyBorder="1" applyAlignment="1">
      <alignment vertical="center"/>
    </xf>
    <xf numFmtId="42" fontId="0" fillId="7" borderId="0" xfId="2" applyNumberFormat="1" applyFont="1" applyFill="1" applyBorder="1" applyAlignment="1">
      <alignment vertical="center"/>
    </xf>
    <xf numFmtId="164" fontId="0" fillId="7" borderId="16" xfId="3" applyNumberFormat="1" applyFont="1" applyFill="1" applyBorder="1" applyAlignment="1">
      <alignment vertical="center"/>
    </xf>
    <xf numFmtId="164" fontId="0" fillId="7" borderId="43" xfId="3" applyNumberFormat="1" applyFont="1" applyFill="1" applyBorder="1" applyAlignment="1">
      <alignment horizontal="center" vertical="center"/>
    </xf>
    <xf numFmtId="164" fontId="0" fillId="7" borderId="0" xfId="3" applyNumberFormat="1" applyFont="1" applyFill="1" applyBorder="1" applyAlignment="1">
      <alignment horizontal="center" vertical="center"/>
    </xf>
    <xf numFmtId="164" fontId="0" fillId="7" borderId="16" xfId="3" applyNumberFormat="1" applyFont="1" applyFill="1" applyBorder="1" applyAlignment="1">
      <alignment horizontal="center" vertical="center"/>
    </xf>
    <xf numFmtId="42" fontId="0" fillId="28" borderId="43" xfId="2" applyFont="1" applyFill="1" applyBorder="1" applyAlignment="1">
      <alignment vertical="center"/>
    </xf>
    <xf numFmtId="164" fontId="0" fillId="28" borderId="16" xfId="3" applyNumberFormat="1" applyFont="1" applyFill="1" applyBorder="1" applyAlignment="1">
      <alignment vertical="center"/>
    </xf>
    <xf numFmtId="164" fontId="0" fillId="28" borderId="43" xfId="3" applyNumberFormat="1" applyFont="1" applyFill="1" applyBorder="1" applyAlignment="1">
      <alignment horizontal="center" vertical="center"/>
    </xf>
    <xf numFmtId="164" fontId="0" fillId="28" borderId="16" xfId="3" applyNumberFormat="1" applyFont="1" applyFill="1" applyBorder="1" applyAlignment="1">
      <alignment horizontal="center" vertical="center"/>
    </xf>
    <xf numFmtId="42" fontId="0" fillId="28" borderId="55" xfId="2" applyFont="1" applyFill="1" applyBorder="1" applyAlignment="1">
      <alignment horizontal="center" vertical="center"/>
    </xf>
    <xf numFmtId="42" fontId="0" fillId="7" borderId="0" xfId="2" applyFont="1" applyFill="1" applyBorder="1" applyAlignment="1">
      <alignment vertical="center"/>
    </xf>
    <xf numFmtId="164" fontId="0" fillId="7" borderId="0" xfId="3" applyNumberFormat="1" applyFont="1" applyFill="1" applyBorder="1" applyAlignment="1">
      <alignment horizontal="right" vertical="center"/>
    </xf>
    <xf numFmtId="164" fontId="0" fillId="7" borderId="0" xfId="3" applyNumberFormat="1" applyFont="1" applyFill="1" applyBorder="1" applyAlignment="1">
      <alignment vertical="center"/>
    </xf>
    <xf numFmtId="169" fontId="0" fillId="7" borderId="43" xfId="2" applyNumberFormat="1" applyFont="1" applyFill="1" applyBorder="1" applyAlignment="1">
      <alignment vertical="center"/>
    </xf>
    <xf numFmtId="169" fontId="0" fillId="7" borderId="0" xfId="2" applyNumberFormat="1" applyFont="1" applyFill="1" applyBorder="1" applyAlignment="1">
      <alignment vertical="center"/>
    </xf>
    <xf numFmtId="0" fontId="0" fillId="28" borderId="75" xfId="0" applyFont="1" applyFill="1" applyBorder="1" applyAlignment="1">
      <alignment vertical="center"/>
    </xf>
    <xf numFmtId="41" fontId="0" fillId="28" borderId="74" xfId="1" applyFont="1" applyFill="1" applyBorder="1" applyAlignment="1">
      <alignment horizontal="right" vertical="center"/>
    </xf>
    <xf numFmtId="0" fontId="0" fillId="28" borderId="4" xfId="0" applyFont="1" applyFill="1" applyBorder="1" applyAlignment="1">
      <alignment horizontal="center" vertical="center"/>
    </xf>
    <xf numFmtId="0" fontId="0" fillId="28" borderId="76" xfId="0" applyFont="1" applyFill="1" applyBorder="1" applyAlignment="1">
      <alignment vertical="center"/>
    </xf>
    <xf numFmtId="41" fontId="0" fillId="28" borderId="72" xfId="1" applyFont="1" applyFill="1" applyBorder="1" applyAlignment="1">
      <alignment horizontal="right" vertical="center"/>
    </xf>
    <xf numFmtId="2" fontId="13" fillId="0" borderId="0" xfId="0" applyNumberFormat="1" applyFont="1"/>
    <xf numFmtId="0" fontId="26" fillId="0" borderId="7" xfId="0" applyFont="1" applyFill="1" applyBorder="1" applyAlignment="1">
      <alignment horizontal="center" vertical="center"/>
    </xf>
    <xf numFmtId="0" fontId="26" fillId="0" borderId="39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vertical="center"/>
    </xf>
    <xf numFmtId="0" fontId="26" fillId="0" borderId="42" xfId="0" applyFont="1" applyFill="1" applyBorder="1" applyAlignment="1">
      <alignment vertical="center"/>
    </xf>
    <xf numFmtId="0" fontId="26" fillId="0" borderId="7" xfId="0" applyFont="1" applyFill="1" applyBorder="1" applyAlignment="1">
      <alignment vertical="center"/>
    </xf>
    <xf numFmtId="41" fontId="26" fillId="0" borderId="17" xfId="1" applyFont="1" applyFill="1" applyBorder="1" applyAlignment="1">
      <alignment horizontal="right" vertical="center"/>
    </xf>
    <xf numFmtId="42" fontId="26" fillId="0" borderId="42" xfId="2" applyFont="1" applyFill="1" applyBorder="1" applyAlignment="1">
      <alignment vertical="center"/>
    </xf>
    <xf numFmtId="42" fontId="26" fillId="0" borderId="39" xfId="2" applyFont="1" applyFill="1" applyBorder="1" applyAlignment="1">
      <alignment vertical="center"/>
    </xf>
    <xf numFmtId="164" fontId="26" fillId="0" borderId="39" xfId="3" applyNumberFormat="1" applyFont="1" applyFill="1" applyBorder="1" applyAlignment="1">
      <alignment horizontal="right" vertical="center"/>
    </xf>
    <xf numFmtId="164" fontId="26" fillId="0" borderId="17" xfId="3" applyNumberFormat="1" applyFont="1" applyFill="1" applyBorder="1" applyAlignment="1">
      <alignment vertical="center"/>
    </xf>
    <xf numFmtId="164" fontId="26" fillId="0" borderId="11" xfId="3" applyNumberFormat="1" applyFont="1" applyFill="1" applyBorder="1" applyAlignment="1">
      <alignment horizontal="center" vertical="center"/>
    </xf>
    <xf numFmtId="164" fontId="26" fillId="0" borderId="12" xfId="3" applyNumberFormat="1" applyFont="1" applyFill="1" applyBorder="1" applyAlignment="1">
      <alignment horizontal="center" vertical="center"/>
    </xf>
    <xf numFmtId="9" fontId="26" fillId="0" borderId="39" xfId="3" applyFont="1" applyFill="1" applyBorder="1" applyAlignment="1">
      <alignment horizontal="center" vertical="center"/>
    </xf>
    <xf numFmtId="42" fontId="26" fillId="0" borderId="42" xfId="2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41" fontId="0" fillId="0" borderId="39" xfId="1" applyFont="1" applyFill="1" applyBorder="1" applyAlignment="1">
      <alignment horizontal="center" vertical="center"/>
    </xf>
    <xf numFmtId="42" fontId="0" fillId="0" borderId="42" xfId="2" applyFont="1" applyFill="1" applyBorder="1" applyAlignment="1">
      <alignment horizontal="center" vertical="center"/>
    </xf>
    <xf numFmtId="164" fontId="0" fillId="0" borderId="17" xfId="3" applyNumberFormat="1" applyFont="1" applyFill="1" applyBorder="1" applyAlignment="1">
      <alignment horizontal="right" vertical="center"/>
    </xf>
    <xf numFmtId="164" fontId="0" fillId="0" borderId="39" xfId="3" applyNumberFormat="1" applyFont="1" applyFill="1" applyBorder="1" applyAlignment="1">
      <alignment horizontal="center" vertical="center"/>
    </xf>
    <xf numFmtId="164" fontId="26" fillId="0" borderId="42" xfId="3" applyNumberFormat="1" applyFont="1" applyFill="1" applyBorder="1" applyAlignment="1">
      <alignment horizontal="center" vertical="center"/>
    </xf>
    <xf numFmtId="164" fontId="26" fillId="0" borderId="39" xfId="3" applyNumberFormat="1" applyFont="1" applyFill="1" applyBorder="1" applyAlignment="1">
      <alignment horizontal="center" vertical="center"/>
    </xf>
    <xf numFmtId="41" fontId="0" fillId="0" borderId="0" xfId="1" applyFont="1" applyFill="1" applyAlignment="1">
      <alignment horizontal="center"/>
    </xf>
    <xf numFmtId="9" fontId="22" fillId="0" borderId="0" xfId="0" applyNumberFormat="1" applyFont="1" applyFill="1" applyAlignment="1">
      <alignment horizontal="center"/>
    </xf>
    <xf numFmtId="9" fontId="26" fillId="0" borderId="0" xfId="0" applyNumberFormat="1" applyFont="1" applyFill="1" applyAlignment="1">
      <alignment horizontal="right"/>
    </xf>
    <xf numFmtId="9" fontId="26" fillId="0" borderId="5" xfId="0" applyNumberFormat="1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9" fontId="26" fillId="0" borderId="13" xfId="3" applyFont="1" applyFill="1" applyBorder="1" applyAlignment="1">
      <alignment horizontal="right" vertical="center"/>
    </xf>
    <xf numFmtId="0" fontId="26" fillId="0" borderId="12" xfId="0" applyFont="1" applyFill="1" applyBorder="1"/>
    <xf numFmtId="9" fontId="26" fillId="0" borderId="11" xfId="3" applyFont="1" applyFill="1" applyBorder="1" applyAlignment="1">
      <alignment horizontal="center" vertical="center"/>
    </xf>
    <xf numFmtId="9" fontId="26" fillId="0" borderId="12" xfId="3" applyFont="1" applyFill="1" applyBorder="1" applyAlignment="1">
      <alignment horizontal="center" vertical="center"/>
    </xf>
    <xf numFmtId="9" fontId="26" fillId="0" borderId="13" xfId="3" applyFont="1" applyFill="1" applyBorder="1" applyAlignment="1">
      <alignment horizontal="center" vertical="center"/>
    </xf>
    <xf numFmtId="42" fontId="0" fillId="0" borderId="0" xfId="0" applyNumberFormat="1" applyFont="1" applyFill="1" applyAlignment="1">
      <alignment horizontal="center"/>
    </xf>
    <xf numFmtId="0" fontId="26" fillId="0" borderId="6" xfId="0" applyFont="1" applyFill="1" applyBorder="1" applyAlignment="1">
      <alignment vertical="center"/>
    </xf>
    <xf numFmtId="41" fontId="26" fillId="0" borderId="15" xfId="1" applyFont="1" applyFill="1" applyBorder="1" applyAlignment="1">
      <alignment horizontal="right" vertical="center"/>
    </xf>
    <xf numFmtId="164" fontId="26" fillId="0" borderId="19" xfId="3" applyNumberFormat="1" applyFont="1" applyFill="1" applyBorder="1" applyAlignment="1">
      <alignment horizontal="right" vertical="center"/>
    </xf>
    <xf numFmtId="164" fontId="26" fillId="0" borderId="15" xfId="3" applyNumberFormat="1" applyFont="1" applyFill="1" applyBorder="1" applyAlignment="1">
      <alignment vertical="center"/>
    </xf>
    <xf numFmtId="164" fontId="26" fillId="0" borderId="14" xfId="3" applyNumberFormat="1" applyFont="1" applyFill="1" applyBorder="1" applyAlignment="1">
      <alignment horizontal="center" vertical="center"/>
    </xf>
    <xf numFmtId="164" fontId="26" fillId="0" borderId="19" xfId="3" applyNumberFormat="1" applyFont="1" applyFill="1" applyBorder="1" applyAlignment="1">
      <alignment horizontal="center" vertical="center"/>
    </xf>
    <xf numFmtId="9" fontId="26" fillId="0" borderId="19" xfId="3" applyFont="1" applyFill="1" applyBorder="1" applyAlignment="1">
      <alignment horizontal="center" vertical="center"/>
    </xf>
    <xf numFmtId="42" fontId="26" fillId="0" borderId="14" xfId="2" applyFont="1" applyFill="1" applyBorder="1" applyAlignment="1">
      <alignment horizontal="center" vertical="center"/>
    </xf>
    <xf numFmtId="0" fontId="26" fillId="0" borderId="55" xfId="0" applyFont="1" applyFill="1" applyBorder="1" applyAlignment="1">
      <alignment vertical="center"/>
    </xf>
    <xf numFmtId="41" fontId="26" fillId="0" borderId="16" xfId="1" applyFont="1" applyFill="1" applyBorder="1" applyAlignment="1">
      <alignment horizontal="right" vertical="center"/>
    </xf>
    <xf numFmtId="164" fontId="26" fillId="0" borderId="0" xfId="3" applyNumberFormat="1" applyFont="1" applyFill="1" applyBorder="1" applyAlignment="1">
      <alignment horizontal="right" vertical="center"/>
    </xf>
    <xf numFmtId="164" fontId="26" fillId="0" borderId="16" xfId="3" applyNumberFormat="1" applyFont="1" applyFill="1" applyBorder="1" applyAlignment="1">
      <alignment vertical="center"/>
    </xf>
    <xf numFmtId="164" fontId="26" fillId="0" borderId="43" xfId="3" applyNumberFormat="1" applyFont="1" applyFill="1" applyBorder="1" applyAlignment="1">
      <alignment horizontal="center" vertical="center"/>
    </xf>
    <xf numFmtId="164" fontId="26" fillId="0" borderId="0" xfId="3" applyNumberFormat="1" applyFont="1" applyFill="1" applyBorder="1" applyAlignment="1">
      <alignment horizontal="center" vertical="center"/>
    </xf>
    <xf numFmtId="9" fontId="26" fillId="0" borderId="0" xfId="3" applyFont="1" applyFill="1" applyBorder="1" applyAlignment="1">
      <alignment horizontal="center" vertical="center"/>
    </xf>
    <xf numFmtId="42" fontId="26" fillId="0" borderId="43" xfId="2" applyFont="1" applyFill="1" applyBorder="1" applyAlignment="1">
      <alignment horizontal="center" vertical="center"/>
    </xf>
    <xf numFmtId="173" fontId="0" fillId="0" borderId="11" xfId="9" applyNumberFormat="1" applyFont="1" applyFill="1" applyBorder="1" applyAlignment="1">
      <alignment vertical="center"/>
    </xf>
    <xf numFmtId="42" fontId="2" fillId="5" borderId="0" xfId="2" applyFont="1" applyFill="1" applyBorder="1" applyAlignment="1">
      <alignment horizontal="center"/>
    </xf>
    <xf numFmtId="164" fontId="0" fillId="0" borderId="5" xfId="3" applyNumberFormat="1" applyFont="1" applyFill="1" applyBorder="1" applyAlignment="1">
      <alignment horizontal="center"/>
    </xf>
    <xf numFmtId="166" fontId="0" fillId="0" borderId="13" xfId="9" applyNumberFormat="1" applyFont="1" applyFill="1" applyBorder="1" applyAlignment="1">
      <alignment horizontal="center"/>
    </xf>
    <xf numFmtId="10" fontId="0" fillId="0" borderId="0" xfId="0" applyNumberFormat="1"/>
    <xf numFmtId="164" fontId="0" fillId="30" borderId="0" xfId="3" applyNumberFormat="1" applyFont="1" applyFill="1" applyBorder="1" applyAlignment="1">
      <alignment horizontal="right" vertical="center"/>
    </xf>
    <xf numFmtId="41" fontId="0" fillId="0" borderId="39" xfId="1" applyFont="1" applyBorder="1" applyAlignment="1">
      <alignment horizontal="right" vertical="center"/>
    </xf>
    <xf numFmtId="166" fontId="0" fillId="0" borderId="12" xfId="9" applyNumberFormat="1" applyFont="1" applyFill="1" applyBorder="1" applyAlignment="1">
      <alignment vertical="center"/>
    </xf>
    <xf numFmtId="164" fontId="0" fillId="0" borderId="13" xfId="3" applyNumberFormat="1" applyFont="1" applyFill="1" applyBorder="1" applyAlignment="1">
      <alignment horizontal="right" vertical="center"/>
    </xf>
    <xf numFmtId="173" fontId="0" fillId="0" borderId="0" xfId="9" applyNumberFormat="1" applyFont="1"/>
    <xf numFmtId="176" fontId="33" fillId="0" borderId="12" xfId="0" applyNumberFormat="1" applyFont="1" applyBorder="1"/>
    <xf numFmtId="164" fontId="34" fillId="0" borderId="13" xfId="3" applyNumberFormat="1" applyFont="1" applyFill="1" applyBorder="1" applyAlignment="1">
      <alignment vertical="center"/>
    </xf>
    <xf numFmtId="42" fontId="0" fillId="25" borderId="0" xfId="2" applyFont="1" applyFill="1" applyBorder="1" applyAlignment="1">
      <alignment horizontal="center" vertical="center"/>
    </xf>
    <xf numFmtId="42" fontId="19" fillId="0" borderId="0" xfId="0" applyNumberFormat="1" applyFont="1" applyBorder="1" applyAlignment="1">
      <alignment horizontal="center"/>
    </xf>
    <xf numFmtId="0" fontId="20" fillId="27" borderId="6" xfId="0" applyFont="1" applyFill="1" applyBorder="1" applyAlignment="1">
      <alignment horizontal="center" vertical="center" wrapText="1"/>
    </xf>
    <xf numFmtId="0" fontId="20" fillId="27" borderId="14" xfId="0" applyFont="1" applyFill="1" applyBorder="1" applyAlignment="1">
      <alignment horizontal="center" vertical="center" wrapText="1"/>
    </xf>
    <xf numFmtId="42" fontId="20" fillId="27" borderId="6" xfId="2" applyFont="1" applyFill="1" applyBorder="1" applyAlignment="1">
      <alignment horizontal="center" vertical="center" wrapText="1"/>
    </xf>
    <xf numFmtId="42" fontId="20" fillId="5" borderId="6" xfId="2" applyFont="1" applyFill="1" applyBorder="1" applyAlignment="1">
      <alignment horizontal="center" vertical="center" wrapText="1"/>
    </xf>
    <xf numFmtId="0" fontId="19" fillId="0" borderId="14" xfId="0" applyFont="1" applyBorder="1"/>
    <xf numFmtId="0" fontId="19" fillId="0" borderId="19" xfId="0" applyFont="1" applyBorder="1" applyAlignment="1">
      <alignment horizontal="center"/>
    </xf>
    <xf numFmtId="42" fontId="19" fillId="0" borderId="19" xfId="0" applyNumberFormat="1" applyFont="1" applyBorder="1" applyAlignment="1">
      <alignment horizontal="center"/>
    </xf>
    <xf numFmtId="0" fontId="19" fillId="0" borderId="15" xfId="0" applyFont="1" applyBorder="1"/>
    <xf numFmtId="0" fontId="19" fillId="0" borderId="43" xfId="0" applyFont="1" applyBorder="1"/>
    <xf numFmtId="0" fontId="19" fillId="0" borderId="16" xfId="0" applyFont="1" applyBorder="1"/>
    <xf numFmtId="0" fontId="20" fillId="0" borderId="16" xfId="0" applyFont="1" applyBorder="1" applyAlignment="1">
      <alignment horizontal="center"/>
    </xf>
    <xf numFmtId="0" fontId="19" fillId="0" borderId="42" xfId="0" applyFont="1" applyBorder="1"/>
    <xf numFmtId="0" fontId="19" fillId="0" borderId="39" xfId="0" applyFont="1" applyBorder="1" applyAlignment="1">
      <alignment horizontal="center"/>
    </xf>
    <xf numFmtId="42" fontId="19" fillId="0" borderId="39" xfId="0" applyNumberFormat="1" applyFont="1" applyBorder="1" applyAlignment="1">
      <alignment horizontal="center"/>
    </xf>
    <xf numFmtId="0" fontId="19" fillId="0" borderId="17" xfId="0" applyFont="1" applyBorder="1"/>
    <xf numFmtId="41" fontId="19" fillId="0" borderId="14" xfId="1" applyFont="1" applyBorder="1"/>
    <xf numFmtId="42" fontId="19" fillId="26" borderId="15" xfId="2" applyFont="1" applyFill="1" applyBorder="1"/>
    <xf numFmtId="41" fontId="19" fillId="0" borderId="43" xfId="1" applyFont="1" applyBorder="1"/>
    <xf numFmtId="42" fontId="19" fillId="26" borderId="16" xfId="2" applyFont="1" applyFill="1" applyBorder="1"/>
    <xf numFmtId="41" fontId="19" fillId="0" borderId="42" xfId="1" applyFont="1" applyBorder="1"/>
    <xf numFmtId="42" fontId="19" fillId="26" borderId="17" xfId="2" applyFont="1" applyFill="1" applyBorder="1"/>
    <xf numFmtId="0" fontId="19" fillId="0" borderId="6" xfId="0" applyFont="1" applyBorder="1" applyAlignment="1">
      <alignment horizontal="center"/>
    </xf>
    <xf numFmtId="42" fontId="19" fillId="0" borderId="15" xfId="0" applyNumberFormat="1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42" fontId="19" fillId="0" borderId="16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42" fontId="19" fillId="0" borderId="17" xfId="0" applyNumberFormat="1" applyFont="1" applyBorder="1" applyAlignment="1">
      <alignment horizontal="center"/>
    </xf>
    <xf numFmtId="42" fontId="19" fillId="0" borderId="6" xfId="0" applyNumberFormat="1" applyFont="1" applyBorder="1" applyAlignment="1">
      <alignment horizontal="center"/>
    </xf>
    <xf numFmtId="42" fontId="19" fillId="13" borderId="6" xfId="2" applyFont="1" applyFill="1" applyBorder="1"/>
    <xf numFmtId="0" fontId="0" fillId="0" borderId="6" xfId="0" applyFont="1" applyFill="1" applyBorder="1" applyAlignment="1">
      <alignment horizontal="left" vertical="center"/>
    </xf>
    <xf numFmtId="0" fontId="0" fillId="0" borderId="55" xfId="0" applyFont="1" applyFill="1" applyBorder="1" applyAlignment="1">
      <alignment horizontal="left" vertical="center"/>
    </xf>
    <xf numFmtId="0" fontId="26" fillId="0" borderId="5" xfId="0" applyFont="1" applyBorder="1" applyAlignment="1">
      <alignment horizontal="center"/>
    </xf>
    <xf numFmtId="164" fontId="26" fillId="27" borderId="39" xfId="3" applyNumberFormat="1" applyFont="1" applyFill="1" applyBorder="1" applyAlignment="1">
      <alignment horizontal="right" vertical="center"/>
    </xf>
    <xf numFmtId="42" fontId="26" fillId="25" borderId="39" xfId="2" applyFont="1" applyFill="1" applyBorder="1" applyAlignment="1">
      <alignment horizontal="center" vertical="center"/>
    </xf>
    <xf numFmtId="42" fontId="26" fillId="25" borderId="17" xfId="2" applyFont="1" applyFill="1" applyBorder="1" applyAlignment="1">
      <alignment horizontal="center" vertical="center"/>
    </xf>
    <xf numFmtId="42" fontId="26" fillId="0" borderId="42" xfId="2" applyFont="1" applyBorder="1" applyAlignment="1">
      <alignment horizontal="center" vertical="center"/>
    </xf>
    <xf numFmtId="42" fontId="26" fillId="25" borderId="42" xfId="2" applyFont="1" applyFill="1" applyBorder="1" applyAlignment="1">
      <alignment horizontal="center" vertical="center"/>
    </xf>
    <xf numFmtId="0" fontId="26" fillId="31" borderId="11" xfId="0" applyFont="1" applyFill="1" applyBorder="1"/>
    <xf numFmtId="0" fontId="26" fillId="31" borderId="12" xfId="0" applyFont="1" applyFill="1" applyBorder="1"/>
    <xf numFmtId="0" fontId="26" fillId="31" borderId="13" xfId="0" applyFont="1" applyFill="1" applyBorder="1"/>
    <xf numFmtId="164" fontId="26" fillId="31" borderId="13" xfId="3" applyNumberFormat="1" applyFont="1" applyFill="1" applyBorder="1" applyAlignment="1">
      <alignment horizontal="center" vertical="center"/>
    </xf>
    <xf numFmtId="9" fontId="26" fillId="0" borderId="39" xfId="3" applyNumberFormat="1" applyFont="1" applyFill="1" applyBorder="1" applyAlignment="1">
      <alignment vertical="center"/>
    </xf>
    <xf numFmtId="164" fontId="26" fillId="0" borderId="13" xfId="3" applyNumberFormat="1" applyFont="1" applyFill="1" applyBorder="1" applyAlignment="1">
      <alignment horizontal="center" vertical="center"/>
    </xf>
    <xf numFmtId="164" fontId="26" fillId="0" borderId="17" xfId="3" applyNumberFormat="1" applyFont="1" applyFill="1" applyBorder="1" applyAlignment="1">
      <alignment horizontal="center" vertical="center"/>
    </xf>
    <xf numFmtId="164" fontId="26" fillId="0" borderId="15" xfId="3" applyNumberFormat="1" applyFont="1" applyFill="1" applyBorder="1" applyAlignment="1">
      <alignment horizontal="center" vertical="center"/>
    </xf>
    <xf numFmtId="164" fontId="26" fillId="0" borderId="16" xfId="3" applyNumberFormat="1" applyFont="1" applyFill="1" applyBorder="1" applyAlignment="1">
      <alignment horizontal="center" vertical="center"/>
    </xf>
    <xf numFmtId="42" fontId="19" fillId="25" borderId="55" xfId="2" applyFont="1" applyFill="1" applyBorder="1"/>
    <xf numFmtId="10" fontId="17" fillId="0" borderId="59" xfId="3" applyNumberFormat="1" applyFont="1" applyBorder="1" applyAlignment="1">
      <alignment horizontal="center" vertical="center" wrapText="1"/>
    </xf>
    <xf numFmtId="10" fontId="17" fillId="0" borderId="21" xfId="3" applyNumberFormat="1" applyFont="1" applyBorder="1" applyAlignment="1">
      <alignment horizontal="center" vertical="center" wrapText="1"/>
    </xf>
    <xf numFmtId="10" fontId="17" fillId="0" borderId="22" xfId="3" applyNumberFormat="1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3" fillId="0" borderId="23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57" xfId="0" applyFont="1" applyBorder="1" applyAlignment="1">
      <alignment horizontal="left" vertical="center" wrapText="1"/>
    </xf>
    <xf numFmtId="10" fontId="18" fillId="8" borderId="35" xfId="3" applyNumberFormat="1" applyFont="1" applyFill="1" applyBorder="1" applyAlignment="1">
      <alignment horizontal="center" wrapText="1"/>
    </xf>
    <xf numFmtId="10" fontId="18" fillId="8" borderId="68" xfId="3" applyNumberFormat="1" applyFont="1" applyFill="1" applyBorder="1" applyAlignment="1">
      <alignment horizontal="center" wrapText="1"/>
    </xf>
    <xf numFmtId="10" fontId="18" fillId="4" borderId="14" xfId="3" applyNumberFormat="1" applyFont="1" applyFill="1" applyBorder="1" applyAlignment="1">
      <alignment horizontal="center" wrapText="1"/>
    </xf>
    <xf numFmtId="10" fontId="18" fillId="4" borderId="48" xfId="3" applyNumberFormat="1" applyFont="1" applyFill="1" applyBorder="1" applyAlignment="1">
      <alignment horizontal="center" wrapText="1"/>
    </xf>
    <xf numFmtId="10" fontId="18" fillId="4" borderId="76" xfId="3" applyNumberFormat="1" applyFont="1" applyFill="1" applyBorder="1" applyAlignment="1">
      <alignment horizontal="center" wrapText="1"/>
    </xf>
    <xf numFmtId="10" fontId="18" fillId="4" borderId="66" xfId="3" applyNumberFormat="1" applyFont="1" applyFill="1" applyBorder="1" applyAlignment="1">
      <alignment horizontal="center" wrapText="1"/>
    </xf>
    <xf numFmtId="0" fontId="16" fillId="0" borderId="59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1" fontId="17" fillId="5" borderId="35" xfId="3" applyNumberFormat="1" applyFont="1" applyFill="1" applyBorder="1" applyAlignment="1">
      <alignment horizontal="center" vertical="center"/>
    </xf>
    <xf numFmtId="1" fontId="17" fillId="5" borderId="68" xfId="3" applyNumberFormat="1" applyFont="1" applyFill="1" applyBorder="1" applyAlignment="1">
      <alignment horizontal="center" vertical="center"/>
    </xf>
    <xf numFmtId="1" fontId="17" fillId="6" borderId="35" xfId="3" applyNumberFormat="1" applyFont="1" applyFill="1" applyBorder="1" applyAlignment="1">
      <alignment horizontal="center" vertical="center"/>
    </xf>
    <xf numFmtId="1" fontId="17" fillId="6" borderId="68" xfId="3" applyNumberFormat="1" applyFont="1" applyFill="1" applyBorder="1" applyAlignment="1">
      <alignment horizontal="center" vertical="center"/>
    </xf>
    <xf numFmtId="10" fontId="17" fillId="0" borderId="20" xfId="3" applyNumberFormat="1" applyFont="1" applyBorder="1" applyAlignment="1">
      <alignment horizontal="center" vertical="center" wrapText="1"/>
    </xf>
    <xf numFmtId="10" fontId="2" fillId="11" borderId="34" xfId="3" applyNumberFormat="1" applyFont="1" applyFill="1" applyBorder="1" applyAlignment="1">
      <alignment horizontal="center" vertical="center"/>
    </xf>
    <xf numFmtId="10" fontId="2" fillId="11" borderId="38" xfId="3" applyNumberFormat="1" applyFont="1" applyFill="1" applyBorder="1" applyAlignment="1">
      <alignment horizontal="center" vertical="center"/>
    </xf>
    <xf numFmtId="10" fontId="2" fillId="11" borderId="35" xfId="3" applyNumberFormat="1" applyFont="1" applyFill="1" applyBorder="1" applyAlignment="1">
      <alignment horizontal="center" vertical="center"/>
    </xf>
    <xf numFmtId="10" fontId="2" fillId="12" borderId="25" xfId="3" applyNumberFormat="1" applyFont="1" applyFill="1" applyBorder="1" applyAlignment="1">
      <alignment horizontal="center" vertical="center"/>
    </xf>
    <xf numFmtId="10" fontId="2" fillId="12" borderId="36" xfId="3" applyNumberFormat="1" applyFont="1" applyFill="1" applyBorder="1" applyAlignment="1">
      <alignment horizontal="center" vertical="center"/>
    </xf>
    <xf numFmtId="10" fontId="2" fillId="12" borderId="29" xfId="3" applyNumberFormat="1" applyFont="1" applyFill="1" applyBorder="1" applyAlignment="1">
      <alignment horizontal="center" vertical="center"/>
    </xf>
    <xf numFmtId="10" fontId="2" fillId="12" borderId="31" xfId="3" applyNumberFormat="1" applyFont="1" applyFill="1" applyBorder="1" applyAlignment="1">
      <alignment horizontal="center" vertical="center"/>
    </xf>
    <xf numFmtId="10" fontId="2" fillId="12" borderId="37" xfId="3" applyNumberFormat="1" applyFont="1" applyFill="1" applyBorder="1" applyAlignment="1">
      <alignment horizontal="center" vertical="center"/>
    </xf>
    <xf numFmtId="10" fontId="2" fillId="12" borderId="32" xfId="3" applyNumberFormat="1" applyFont="1" applyFill="1" applyBorder="1" applyAlignment="1">
      <alignment horizontal="center" vertical="center"/>
    </xf>
    <xf numFmtId="10" fontId="2" fillId="2" borderId="25" xfId="3" applyNumberFormat="1" applyFont="1" applyFill="1" applyBorder="1" applyAlignment="1">
      <alignment horizontal="center" vertical="center"/>
    </xf>
    <xf numFmtId="10" fontId="2" fillId="2" borderId="36" xfId="3" applyNumberFormat="1" applyFont="1" applyFill="1" applyBorder="1" applyAlignment="1">
      <alignment horizontal="center" vertical="center"/>
    </xf>
    <xf numFmtId="10" fontId="2" fillId="2" borderId="29" xfId="3" applyNumberFormat="1" applyFont="1" applyFill="1" applyBorder="1" applyAlignment="1">
      <alignment horizontal="center" vertical="center"/>
    </xf>
    <xf numFmtId="10" fontId="2" fillId="2" borderId="31" xfId="3" applyNumberFormat="1" applyFont="1" applyFill="1" applyBorder="1" applyAlignment="1">
      <alignment horizontal="center" vertical="center"/>
    </xf>
    <xf numFmtId="10" fontId="2" fillId="2" borderId="37" xfId="3" applyNumberFormat="1" applyFont="1" applyFill="1" applyBorder="1" applyAlignment="1">
      <alignment horizontal="center" vertical="center"/>
    </xf>
    <xf numFmtId="10" fontId="2" fillId="2" borderId="32" xfId="3" applyNumberFormat="1" applyFont="1" applyFill="1" applyBorder="1" applyAlignment="1">
      <alignment horizontal="center" vertical="center"/>
    </xf>
    <xf numFmtId="10" fontId="2" fillId="13" borderId="31" xfId="3" applyNumberFormat="1" applyFont="1" applyFill="1" applyBorder="1" applyAlignment="1">
      <alignment horizontal="center" vertical="center"/>
    </xf>
    <xf numFmtId="10" fontId="2" fillId="13" borderId="37" xfId="3" applyNumberFormat="1" applyFont="1" applyFill="1" applyBorder="1" applyAlignment="1">
      <alignment horizontal="center" vertical="center"/>
    </xf>
    <xf numFmtId="10" fontId="2" fillId="13" borderId="32" xfId="3" applyNumberFormat="1" applyFont="1" applyFill="1" applyBorder="1" applyAlignment="1">
      <alignment horizontal="center" vertical="center"/>
    </xf>
    <xf numFmtId="10" fontId="2" fillId="14" borderId="25" xfId="3" applyNumberFormat="1" applyFont="1" applyFill="1" applyBorder="1" applyAlignment="1">
      <alignment horizontal="center" vertical="center"/>
    </xf>
    <xf numFmtId="10" fontId="2" fillId="14" borderId="36" xfId="3" applyNumberFormat="1" applyFont="1" applyFill="1" applyBorder="1" applyAlignment="1">
      <alignment horizontal="center" vertical="center"/>
    </xf>
    <xf numFmtId="10" fontId="2" fillId="14" borderId="29" xfId="3" applyNumberFormat="1" applyFont="1" applyFill="1" applyBorder="1" applyAlignment="1">
      <alignment horizontal="center" vertical="center"/>
    </xf>
    <xf numFmtId="10" fontId="2" fillId="14" borderId="31" xfId="3" applyNumberFormat="1" applyFont="1" applyFill="1" applyBorder="1" applyAlignment="1">
      <alignment horizontal="center" vertical="center"/>
    </xf>
    <xf numFmtId="10" fontId="2" fillId="14" borderId="37" xfId="3" applyNumberFormat="1" applyFont="1" applyFill="1" applyBorder="1" applyAlignment="1">
      <alignment horizontal="center" vertical="center"/>
    </xf>
    <xf numFmtId="10" fontId="2" fillId="14" borderId="32" xfId="3" applyNumberFormat="1" applyFont="1" applyFill="1" applyBorder="1" applyAlignment="1">
      <alignment horizontal="center" vertical="center"/>
    </xf>
    <xf numFmtId="10" fontId="2" fillId="15" borderId="25" xfId="3" applyNumberFormat="1" applyFont="1" applyFill="1" applyBorder="1" applyAlignment="1">
      <alignment horizontal="center" vertical="center"/>
    </xf>
    <xf numFmtId="10" fontId="2" fillId="15" borderId="36" xfId="3" applyNumberFormat="1" applyFont="1" applyFill="1" applyBorder="1" applyAlignment="1">
      <alignment horizontal="center" vertical="center"/>
    </xf>
    <xf numFmtId="10" fontId="2" fillId="15" borderId="29" xfId="3" applyNumberFormat="1" applyFont="1" applyFill="1" applyBorder="1" applyAlignment="1">
      <alignment horizontal="center" vertical="center"/>
    </xf>
    <xf numFmtId="10" fontId="2" fillId="15" borderId="31" xfId="3" applyNumberFormat="1" applyFont="1" applyFill="1" applyBorder="1" applyAlignment="1">
      <alignment horizontal="center" vertical="center"/>
    </xf>
    <xf numFmtId="10" fontId="2" fillId="15" borderId="37" xfId="3" applyNumberFormat="1" applyFont="1" applyFill="1" applyBorder="1" applyAlignment="1">
      <alignment horizontal="center" vertical="center"/>
    </xf>
    <xf numFmtId="10" fontId="2" fillId="15" borderId="32" xfId="3" applyNumberFormat="1" applyFont="1" applyFill="1" applyBorder="1" applyAlignment="1">
      <alignment horizontal="center" vertical="center"/>
    </xf>
    <xf numFmtId="10" fontId="2" fillId="16" borderId="25" xfId="3" applyNumberFormat="1" applyFont="1" applyFill="1" applyBorder="1" applyAlignment="1">
      <alignment horizontal="center" vertical="center"/>
    </xf>
    <xf numFmtId="10" fontId="2" fillId="16" borderId="36" xfId="3" applyNumberFormat="1" applyFont="1" applyFill="1" applyBorder="1" applyAlignment="1">
      <alignment horizontal="center" vertical="center"/>
    </xf>
    <xf numFmtId="10" fontId="2" fillId="16" borderId="29" xfId="3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Border="1" applyAlignment="1">
      <alignment horizontal="right"/>
    </xf>
    <xf numFmtId="41" fontId="2" fillId="3" borderId="11" xfId="1" applyFont="1" applyFill="1" applyBorder="1" applyAlignment="1">
      <alignment horizontal="right" vertical="center"/>
    </xf>
    <xf numFmtId="41" fontId="2" fillId="3" borderId="12" xfId="1" applyFont="1" applyFill="1" applyBorder="1" applyAlignment="1">
      <alignment horizontal="right" vertical="center"/>
    </xf>
    <xf numFmtId="41" fontId="2" fillId="3" borderId="13" xfId="1" applyFont="1" applyFill="1" applyBorder="1" applyAlignment="1">
      <alignment horizontal="right" vertical="center"/>
    </xf>
    <xf numFmtId="0" fontId="22" fillId="24" borderId="60" xfId="0" applyFont="1" applyFill="1" applyBorder="1" applyAlignment="1">
      <alignment horizontal="center" vertical="center"/>
    </xf>
    <xf numFmtId="0" fontId="22" fillId="24" borderId="63" xfId="0" applyFont="1" applyFill="1" applyBorder="1" applyAlignment="1">
      <alignment horizontal="center" vertical="center"/>
    </xf>
    <xf numFmtId="0" fontId="21" fillId="5" borderId="51" xfId="0" applyFont="1" applyFill="1" applyBorder="1" applyAlignment="1">
      <alignment horizontal="center" vertical="center"/>
    </xf>
    <xf numFmtId="0" fontId="21" fillId="5" borderId="52" xfId="0" applyFont="1" applyFill="1" applyBorder="1" applyAlignment="1">
      <alignment horizontal="center" vertical="center"/>
    </xf>
    <xf numFmtId="0" fontId="22" fillId="24" borderId="41" xfId="0" applyFont="1" applyFill="1" applyBorder="1" applyAlignment="1">
      <alignment horizontal="center" vertical="center"/>
    </xf>
    <xf numFmtId="0" fontId="22" fillId="24" borderId="51" xfId="0" applyFont="1" applyFill="1" applyBorder="1" applyAlignment="1">
      <alignment horizontal="center" vertical="center"/>
    </xf>
    <xf numFmtId="0" fontId="22" fillId="24" borderId="78" xfId="0" applyFont="1" applyFill="1" applyBorder="1" applyAlignment="1">
      <alignment horizontal="center" vertical="center"/>
    </xf>
    <xf numFmtId="0" fontId="21" fillId="24" borderId="1" xfId="0" applyFont="1" applyFill="1" applyBorder="1" applyAlignment="1">
      <alignment horizontal="center" vertical="center"/>
    </xf>
    <xf numFmtId="0" fontId="21" fillId="24" borderId="45" xfId="0" applyFont="1" applyFill="1" applyBorder="1" applyAlignment="1">
      <alignment horizontal="center" vertical="center"/>
    </xf>
    <xf numFmtId="0" fontId="21" fillId="24" borderId="80" xfId="0" applyFont="1" applyFill="1" applyBorder="1" applyAlignment="1">
      <alignment horizontal="center" vertical="center"/>
    </xf>
    <xf numFmtId="0" fontId="21" fillId="24" borderId="54" xfId="0" applyFont="1" applyFill="1" applyBorder="1" applyAlignment="1">
      <alignment horizontal="center" vertical="center"/>
    </xf>
    <xf numFmtId="0" fontId="21" fillId="24" borderId="71" xfId="0" applyFont="1" applyFill="1" applyBorder="1" applyAlignment="1">
      <alignment horizontal="center" vertical="center"/>
    </xf>
    <xf numFmtId="0" fontId="21" fillId="24" borderId="79" xfId="0" applyFont="1" applyFill="1" applyBorder="1" applyAlignment="1">
      <alignment horizontal="center" vertical="center"/>
    </xf>
    <xf numFmtId="0" fontId="21" fillId="24" borderId="8" xfId="0" applyFont="1" applyFill="1" applyBorder="1" applyAlignment="1">
      <alignment horizontal="center" vertical="center"/>
    </xf>
    <xf numFmtId="42" fontId="21" fillId="5" borderId="48" xfId="2" applyFont="1" applyFill="1" applyBorder="1" applyAlignment="1">
      <alignment horizontal="center" vertical="center" wrapText="1"/>
    </xf>
    <xf numFmtId="42" fontId="21" fillId="5" borderId="64" xfId="2" applyFont="1" applyFill="1" applyBorder="1" applyAlignment="1">
      <alignment horizontal="center" vertical="center" wrapText="1"/>
    </xf>
    <xf numFmtId="42" fontId="21" fillId="5" borderId="66" xfId="2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right"/>
    </xf>
    <xf numFmtId="0" fontId="33" fillId="0" borderId="13" xfId="0" applyFont="1" applyBorder="1" applyAlignment="1">
      <alignment horizontal="right"/>
    </xf>
    <xf numFmtId="0" fontId="21" fillId="24" borderId="76" xfId="0" applyFont="1" applyFill="1" applyBorder="1" applyAlignment="1">
      <alignment horizontal="center" vertical="center"/>
    </xf>
    <xf numFmtId="0" fontId="21" fillId="24" borderId="62" xfId="0" applyFont="1" applyFill="1" applyBorder="1" applyAlignment="1">
      <alignment horizontal="center" vertical="center"/>
    </xf>
    <xf numFmtId="0" fontId="21" fillId="24" borderId="77" xfId="0" applyFont="1" applyFill="1" applyBorder="1" applyAlignment="1">
      <alignment horizontal="center" vertical="center"/>
    </xf>
    <xf numFmtId="0" fontId="21" fillId="24" borderId="92" xfId="0" applyFont="1" applyFill="1" applyBorder="1" applyAlignment="1">
      <alignment horizontal="center" vertical="center"/>
    </xf>
    <xf numFmtId="0" fontId="21" fillId="24" borderId="51" xfId="0" applyFont="1" applyFill="1" applyBorder="1" applyAlignment="1">
      <alignment horizontal="center" vertical="center"/>
    </xf>
    <xf numFmtId="0" fontId="21" fillId="24" borderId="78" xfId="0" applyFont="1" applyFill="1" applyBorder="1" applyAlignment="1">
      <alignment horizontal="center" vertical="center"/>
    </xf>
    <xf numFmtId="0" fontId="28" fillId="24" borderId="14" xfId="0" applyFont="1" applyFill="1" applyBorder="1" applyAlignment="1">
      <alignment horizontal="center" vertical="center"/>
    </xf>
    <xf numFmtId="0" fontId="28" fillId="24" borderId="19" xfId="0" applyFont="1" applyFill="1" applyBorder="1" applyAlignment="1">
      <alignment horizontal="center" vertical="center"/>
    </xf>
    <xf numFmtId="0" fontId="28" fillId="24" borderId="15" xfId="0" applyFont="1" applyFill="1" applyBorder="1" applyAlignment="1">
      <alignment horizontal="center" vertical="center"/>
    </xf>
    <xf numFmtId="0" fontId="28" fillId="24" borderId="5" xfId="0" applyFont="1" applyFill="1" applyBorder="1" applyAlignment="1">
      <alignment horizontal="center" vertical="center"/>
    </xf>
    <xf numFmtId="0" fontId="29" fillId="24" borderId="19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center" vertical="center" wrapText="1"/>
    </xf>
    <xf numFmtId="0" fontId="28" fillId="5" borderId="11" xfId="0" applyFont="1" applyFill="1" applyBorder="1" applyAlignment="1">
      <alignment horizontal="center" vertical="center"/>
    </xf>
    <xf numFmtId="0" fontId="28" fillId="5" borderId="12" xfId="0" applyFont="1" applyFill="1" applyBorder="1" applyAlignment="1">
      <alignment horizontal="center" vertical="center"/>
    </xf>
    <xf numFmtId="0" fontId="28" fillId="5" borderId="13" xfId="0" applyFont="1" applyFill="1" applyBorder="1" applyAlignment="1">
      <alignment horizontal="center" vertical="center"/>
    </xf>
    <xf numFmtId="0" fontId="28" fillId="24" borderId="6" xfId="0" applyFont="1" applyFill="1" applyBorder="1" applyAlignment="1">
      <alignment horizontal="center" vertical="center"/>
    </xf>
    <xf numFmtId="0" fontId="28" fillId="24" borderId="43" xfId="0" applyFont="1" applyFill="1" applyBorder="1" applyAlignment="1">
      <alignment horizontal="center" vertical="center"/>
    </xf>
    <xf numFmtId="0" fontId="28" fillId="24" borderId="0" xfId="0" applyFont="1" applyFill="1" applyBorder="1" applyAlignment="1">
      <alignment horizontal="center" vertical="center"/>
    </xf>
    <xf numFmtId="0" fontId="28" fillId="24" borderId="16" xfId="0" applyFont="1" applyFill="1" applyBorder="1" applyAlignment="1">
      <alignment horizontal="center" vertical="center"/>
    </xf>
    <xf numFmtId="0" fontId="29" fillId="24" borderId="14" xfId="0" applyFont="1" applyFill="1" applyBorder="1" applyAlignment="1">
      <alignment horizontal="center" vertical="center"/>
    </xf>
    <xf numFmtId="0" fontId="29" fillId="24" borderId="19" xfId="0" applyFont="1" applyFill="1" applyBorder="1" applyAlignment="1">
      <alignment horizontal="center" vertical="center"/>
    </xf>
    <xf numFmtId="0" fontId="29" fillId="24" borderId="15" xfId="0" applyFont="1" applyFill="1" applyBorder="1" applyAlignment="1">
      <alignment horizontal="center" vertical="center"/>
    </xf>
    <xf numFmtId="0" fontId="21" fillId="5" borderId="12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24" borderId="5" xfId="0" applyFont="1" applyFill="1" applyBorder="1" applyAlignment="1">
      <alignment horizontal="center" vertical="center"/>
    </xf>
    <xf numFmtId="0" fontId="21" fillId="24" borderId="11" xfId="0" applyFont="1" applyFill="1" applyBorder="1" applyAlignment="1">
      <alignment horizontal="center" vertical="center"/>
    </xf>
    <xf numFmtId="0" fontId="22" fillId="24" borderId="11" xfId="0" applyFont="1" applyFill="1" applyBorder="1" applyAlignment="1">
      <alignment horizontal="center" vertical="center"/>
    </xf>
    <xf numFmtId="0" fontId="22" fillId="24" borderId="12" xfId="0" applyFont="1" applyFill="1" applyBorder="1" applyAlignment="1">
      <alignment horizontal="center" vertical="center"/>
    </xf>
    <xf numFmtId="0" fontId="22" fillId="24" borderId="13" xfId="0" applyFont="1" applyFill="1" applyBorder="1" applyAlignment="1">
      <alignment horizontal="center" vertical="center"/>
    </xf>
    <xf numFmtId="0" fontId="22" fillId="24" borderId="14" xfId="0" applyFont="1" applyFill="1" applyBorder="1" applyAlignment="1">
      <alignment horizontal="center" vertical="center"/>
    </xf>
    <xf numFmtId="0" fontId="22" fillId="24" borderId="19" xfId="0" applyFont="1" applyFill="1" applyBorder="1" applyAlignment="1">
      <alignment horizontal="center" vertical="center"/>
    </xf>
    <xf numFmtId="0" fontId="22" fillId="24" borderId="15" xfId="0" applyFont="1" applyFill="1" applyBorder="1" applyAlignment="1">
      <alignment horizontal="center" vertical="center"/>
    </xf>
    <xf numFmtId="0" fontId="21" fillId="24" borderId="14" xfId="0" applyFont="1" applyFill="1" applyBorder="1" applyAlignment="1">
      <alignment horizontal="center" vertical="center"/>
    </xf>
    <xf numFmtId="0" fontId="21" fillId="24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6" fontId="0" fillId="0" borderId="74" xfId="9" applyNumberFormat="1" applyFont="1" applyFill="1" applyBorder="1" applyAlignment="1">
      <alignment horizontal="center" vertical="center"/>
    </xf>
    <xf numFmtId="166" fontId="0" fillId="0" borderId="55" xfId="9" applyNumberFormat="1" applyFont="1" applyFill="1" applyBorder="1" applyAlignment="1">
      <alignment horizontal="center" vertical="center"/>
    </xf>
    <xf numFmtId="166" fontId="0" fillId="0" borderId="72" xfId="9" applyNumberFormat="1" applyFont="1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0" fontId="0" fillId="5" borderId="59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9" fontId="7" fillId="0" borderId="0" xfId="4" applyFont="1" applyFill="1" applyAlignment="1">
      <alignment horizontal="center" wrapText="1"/>
    </xf>
  </cellXfs>
  <cellStyles count="11">
    <cellStyle name="Millares" xfId="9" builtinId="3"/>
    <cellStyle name="Millares [0]" xfId="1" builtinId="6"/>
    <cellStyle name="Millares [0] 2" xfId="6" xr:uid="{7A51CB40-BF8B-4978-8415-F0657C9BB265}"/>
    <cellStyle name="Millares 2" xfId="7" xr:uid="{95446F6B-4BAC-4ED1-B545-421F3D383519}"/>
    <cellStyle name="Millares 2 2" xfId="8" xr:uid="{F86AF576-E2D2-486C-B771-BB329E071F7F}"/>
    <cellStyle name="Moneda" xfId="10" builtinId="4"/>
    <cellStyle name="Moneda [0]" xfId="2" builtinId="7"/>
    <cellStyle name="Normal" xfId="0" builtinId="0"/>
    <cellStyle name="Normal 2" xfId="5" xr:uid="{F698CBAC-2DCF-4500-8867-857C425F2662}"/>
    <cellStyle name="Porcentaje" xfId="3" builtinId="5"/>
    <cellStyle name="Porcentaje 2" xfId="4" xr:uid="{C38A008C-9E36-4603-8F9A-FC49267DBA1C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1" defaultTableStyle="TableStyleMedium2" defaultPivotStyle="PivotStyleLight16">
    <tableStyle name="Invisible" pivot="0" table="0" count="0" xr9:uid="{1FA32D5F-4C82-42A2-9CDA-5A891F25A62C}"/>
  </tableStyles>
  <colors>
    <mruColors>
      <color rgb="FFB889DB"/>
      <color rgb="FFE4C9FF"/>
      <color rgb="FFDAC2EC"/>
      <color rgb="FF8BFFBF"/>
      <color rgb="FFB9FFD9"/>
      <color rgb="FF95BEE3"/>
      <color rgb="FF97FFC6"/>
      <color rgb="FFD5FFE8"/>
      <color rgb="FFB7D8A0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E7D8-1CE9-4B8D-9132-C82E25821846}">
  <sheetPr codeName="Hoja3" filterMode="1"/>
  <dimension ref="B1:R53"/>
  <sheetViews>
    <sheetView showGridLines="0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2" sqref="F52"/>
    </sheetView>
  </sheetViews>
  <sheetFormatPr baseColWidth="10" defaultRowHeight="14.4" x14ac:dyDescent="0.3"/>
  <cols>
    <col min="1" max="1" width="1.33203125" customWidth="1"/>
    <col min="2" max="2" width="11.109375" style="60" customWidth="1"/>
    <col min="3" max="3" width="26.88671875" style="50" customWidth="1"/>
    <col min="4" max="4" width="17.5546875" style="50" customWidth="1"/>
    <col min="5" max="5" width="7" style="60" customWidth="1"/>
    <col min="6" max="6" width="40.6640625" style="50" customWidth="1"/>
    <col min="7" max="7" width="15.44140625" style="67" customWidth="1"/>
    <col min="8" max="8" width="13.6640625" style="61" customWidth="1"/>
    <col min="9" max="9" width="13.109375" style="61" customWidth="1"/>
    <col min="10" max="10" width="14.33203125" style="61" customWidth="1"/>
    <col min="11" max="11" width="12.109375" style="61" bestFit="1" customWidth="1"/>
    <col min="12" max="12" width="8.44140625" style="63" customWidth="1"/>
    <col min="13" max="13" width="0.88671875" style="50" customWidth="1"/>
    <col min="14" max="14" width="14.109375" style="60" customWidth="1"/>
    <col min="15" max="15" width="11.44140625" style="60"/>
    <col min="16" max="16" width="12.44140625" style="60" customWidth="1"/>
    <col min="18" max="18" width="14.33203125" customWidth="1"/>
  </cols>
  <sheetData>
    <row r="1" spans="2:18" ht="28.5" customHeight="1" x14ac:dyDescent="0.3">
      <c r="B1" s="46" t="s">
        <v>126</v>
      </c>
      <c r="C1" s="46" t="s">
        <v>25</v>
      </c>
      <c r="D1" s="46" t="s">
        <v>188</v>
      </c>
      <c r="E1" s="46" t="s">
        <v>128</v>
      </c>
      <c r="F1" s="46" t="s">
        <v>22</v>
      </c>
      <c r="G1" s="47" t="s">
        <v>0</v>
      </c>
      <c r="H1" s="48" t="s">
        <v>23</v>
      </c>
      <c r="I1" s="48" t="s">
        <v>24</v>
      </c>
      <c r="J1" s="48" t="s">
        <v>61</v>
      </c>
      <c r="K1" s="48" t="s">
        <v>78</v>
      </c>
      <c r="L1" s="49" t="s">
        <v>98</v>
      </c>
      <c r="N1" s="48" t="s">
        <v>127</v>
      </c>
      <c r="O1" s="48" t="s">
        <v>124</v>
      </c>
      <c r="P1" s="48" t="s">
        <v>4</v>
      </c>
    </row>
    <row r="2" spans="2:18" s="68" customFormat="1" hidden="1" x14ac:dyDescent="0.25">
      <c r="B2" s="51" t="s">
        <v>92</v>
      </c>
      <c r="C2" s="52" t="s">
        <v>88</v>
      </c>
      <c r="D2" s="52" t="s">
        <v>189</v>
      </c>
      <c r="E2" s="51" t="s">
        <v>130</v>
      </c>
      <c r="F2" s="52" t="s">
        <v>29</v>
      </c>
      <c r="G2" s="65" t="s">
        <v>63</v>
      </c>
      <c r="H2" s="53"/>
      <c r="I2" s="53"/>
      <c r="J2" s="53"/>
      <c r="K2" s="58"/>
      <c r="L2" s="51"/>
      <c r="M2" s="50"/>
      <c r="N2" s="64">
        <v>0.18</v>
      </c>
      <c r="O2" s="64">
        <v>0.03</v>
      </c>
      <c r="P2" s="64">
        <v>0.09</v>
      </c>
      <c r="R2" s="552"/>
    </row>
    <row r="3" spans="2:18" s="68" customFormat="1" hidden="1" x14ac:dyDescent="0.25">
      <c r="B3" s="51" t="s">
        <v>90</v>
      </c>
      <c r="C3" s="52" t="s">
        <v>88</v>
      </c>
      <c r="D3" s="52" t="s">
        <v>189</v>
      </c>
      <c r="E3" s="51" t="s">
        <v>130</v>
      </c>
      <c r="F3" s="56" t="s">
        <v>29</v>
      </c>
      <c r="G3" s="65" t="s">
        <v>63</v>
      </c>
      <c r="H3" s="53"/>
      <c r="I3" s="53"/>
      <c r="J3" s="53">
        <f t="shared" ref="J3:J10" si="0">SUM(H3:I3)</f>
        <v>0</v>
      </c>
      <c r="K3" s="54"/>
      <c r="L3" s="51"/>
      <c r="M3" s="50"/>
      <c r="N3" s="64"/>
      <c r="O3" s="64"/>
      <c r="P3" s="64"/>
      <c r="R3" s="552"/>
    </row>
    <row r="4" spans="2:18" s="137" customFormat="1" hidden="1" x14ac:dyDescent="0.25">
      <c r="B4" s="51" t="s">
        <v>89</v>
      </c>
      <c r="C4" s="52" t="s">
        <v>88</v>
      </c>
      <c r="D4" s="52" t="s">
        <v>189</v>
      </c>
      <c r="E4" s="51" t="s">
        <v>130</v>
      </c>
      <c r="F4" s="56" t="s">
        <v>29</v>
      </c>
      <c r="G4" s="65" t="s">
        <v>63</v>
      </c>
      <c r="H4" s="53"/>
      <c r="I4" s="53"/>
      <c r="J4" s="53">
        <f t="shared" si="0"/>
        <v>0</v>
      </c>
      <c r="K4" s="54"/>
      <c r="L4" s="51"/>
      <c r="M4" s="50"/>
      <c r="N4" s="64"/>
      <c r="O4" s="64"/>
      <c r="P4" s="64"/>
      <c r="R4" s="552"/>
    </row>
    <row r="5" spans="2:18" s="137" customFormat="1" x14ac:dyDescent="0.3">
      <c r="B5" s="129" t="s">
        <v>95</v>
      </c>
      <c r="C5" s="130" t="s">
        <v>178</v>
      </c>
      <c r="D5" s="279" t="s">
        <v>189</v>
      </c>
      <c r="E5" s="129" t="s">
        <v>131</v>
      </c>
      <c r="F5" s="130" t="s">
        <v>168</v>
      </c>
      <c r="G5" s="131">
        <v>52371370</v>
      </c>
      <c r="H5" s="132">
        <v>3266104.6</v>
      </c>
      <c r="I5" s="136">
        <v>1620004.32</v>
      </c>
      <c r="J5" s="132">
        <f t="shared" si="0"/>
        <v>4886108.92</v>
      </c>
      <c r="K5" s="133">
        <v>43587</v>
      </c>
      <c r="L5" s="129">
        <f ca="1">TODAY()-K5</f>
        <v>959</v>
      </c>
      <c r="M5" s="134"/>
      <c r="N5" s="135">
        <v>0.18</v>
      </c>
      <c r="O5" s="135">
        <v>0.03</v>
      </c>
      <c r="P5" s="135">
        <v>0.09</v>
      </c>
      <c r="R5" s="552"/>
    </row>
    <row r="6" spans="2:18" s="68" customFormat="1" x14ac:dyDescent="0.25">
      <c r="B6" s="51" t="s">
        <v>45</v>
      </c>
      <c r="C6" s="52" t="s">
        <v>39</v>
      </c>
      <c r="D6" s="56" t="s">
        <v>189</v>
      </c>
      <c r="E6" s="51" t="s">
        <v>130</v>
      </c>
      <c r="F6" s="56" t="s">
        <v>163</v>
      </c>
      <c r="G6" s="65">
        <v>1023863745</v>
      </c>
      <c r="H6" s="55">
        <v>1213013.8648319999</v>
      </c>
      <c r="I6" s="55">
        <v>519863.3726</v>
      </c>
      <c r="J6" s="53">
        <f t="shared" si="0"/>
        <v>1732877.2374319998</v>
      </c>
      <c r="K6" s="54">
        <v>43468</v>
      </c>
      <c r="L6" s="51">
        <f ca="1">TODAY()-K6</f>
        <v>1078</v>
      </c>
      <c r="M6" s="50"/>
      <c r="N6" s="64">
        <v>0.18</v>
      </c>
      <c r="O6" s="64">
        <v>0.03</v>
      </c>
      <c r="P6" s="64">
        <v>0.09</v>
      </c>
    </row>
    <row r="7" spans="2:18" x14ac:dyDescent="0.3">
      <c r="B7" s="51" t="s">
        <v>41</v>
      </c>
      <c r="C7" s="52" t="s">
        <v>39</v>
      </c>
      <c r="D7" s="56" t="s">
        <v>189</v>
      </c>
      <c r="E7" s="51" t="s">
        <v>130</v>
      </c>
      <c r="F7" s="56" t="s">
        <v>226</v>
      </c>
      <c r="G7" s="66">
        <v>52748692</v>
      </c>
      <c r="H7" s="55">
        <v>1213013.8648319999</v>
      </c>
      <c r="I7" s="55">
        <v>519863.3726</v>
      </c>
      <c r="J7" s="53">
        <f t="shared" si="0"/>
        <v>1732877.2374319998</v>
      </c>
      <c r="K7" s="54">
        <v>44152</v>
      </c>
      <c r="L7" s="51">
        <f ca="1">TODAY()-K7</f>
        <v>394</v>
      </c>
      <c r="N7" s="64">
        <v>0.18</v>
      </c>
      <c r="O7" s="64">
        <v>0.03</v>
      </c>
      <c r="P7" s="64">
        <v>0.09</v>
      </c>
    </row>
    <row r="8" spans="2:18" hidden="1" x14ac:dyDescent="0.3">
      <c r="B8" s="187" t="s">
        <v>46</v>
      </c>
      <c r="C8" s="52" t="s">
        <v>39</v>
      </c>
      <c r="D8" s="52" t="s">
        <v>189</v>
      </c>
      <c r="E8" s="51" t="s">
        <v>130</v>
      </c>
      <c r="F8" s="52" t="s">
        <v>29</v>
      </c>
      <c r="G8" s="65" t="s">
        <v>63</v>
      </c>
      <c r="H8" s="55"/>
      <c r="I8" s="55"/>
      <c r="J8" s="53">
        <f t="shared" si="0"/>
        <v>0</v>
      </c>
      <c r="K8" s="54"/>
      <c r="L8" s="51"/>
      <c r="N8" s="64">
        <v>0.18</v>
      </c>
      <c r="O8" s="64">
        <v>0.03</v>
      </c>
      <c r="P8" s="64">
        <v>0.09</v>
      </c>
    </row>
    <row r="9" spans="2:18" hidden="1" x14ac:dyDescent="0.3">
      <c r="B9" s="51" t="s">
        <v>42</v>
      </c>
      <c r="C9" s="52" t="s">
        <v>39</v>
      </c>
      <c r="D9" s="52" t="s">
        <v>189</v>
      </c>
      <c r="E9" s="51" t="s">
        <v>130</v>
      </c>
      <c r="F9" s="56" t="s">
        <v>29</v>
      </c>
      <c r="G9" s="66" t="s">
        <v>63</v>
      </c>
      <c r="H9" s="55"/>
      <c r="I9" s="55"/>
      <c r="J9" s="53">
        <f t="shared" si="0"/>
        <v>0</v>
      </c>
      <c r="K9" s="58"/>
      <c r="L9" s="57"/>
      <c r="N9" s="64"/>
      <c r="O9" s="64"/>
      <c r="P9" s="64"/>
    </row>
    <row r="10" spans="2:18" hidden="1" x14ac:dyDescent="0.3">
      <c r="B10" s="129" t="s">
        <v>183</v>
      </c>
      <c r="C10" s="130" t="s">
        <v>148</v>
      </c>
      <c r="D10" s="279" t="s">
        <v>191</v>
      </c>
      <c r="E10" s="129" t="s">
        <v>131</v>
      </c>
      <c r="F10" s="56" t="s">
        <v>29</v>
      </c>
      <c r="G10" s="66" t="s">
        <v>63</v>
      </c>
      <c r="H10" s="132"/>
      <c r="I10" s="136"/>
      <c r="J10" s="132">
        <f t="shared" si="0"/>
        <v>0</v>
      </c>
      <c r="K10" s="133"/>
      <c r="L10" s="57"/>
      <c r="M10" s="134"/>
      <c r="N10" s="135">
        <v>0.18</v>
      </c>
      <c r="O10" s="135">
        <v>0.03</v>
      </c>
      <c r="P10" s="135">
        <v>0.09</v>
      </c>
      <c r="R10" s="552"/>
    </row>
    <row r="11" spans="2:18" hidden="1" x14ac:dyDescent="0.3">
      <c r="B11" s="51" t="s">
        <v>31</v>
      </c>
      <c r="C11" s="52" t="s">
        <v>148</v>
      </c>
      <c r="D11" s="52" t="s">
        <v>191</v>
      </c>
      <c r="E11" s="51" t="s">
        <v>130</v>
      </c>
      <c r="F11" s="56" t="s">
        <v>29</v>
      </c>
      <c r="G11" s="65" t="s">
        <v>63</v>
      </c>
      <c r="H11" s="55"/>
      <c r="I11" s="55"/>
      <c r="J11" s="53">
        <v>0</v>
      </c>
      <c r="K11" s="54"/>
      <c r="L11" s="51"/>
      <c r="N11" s="64">
        <v>0.18</v>
      </c>
      <c r="O11" s="64">
        <v>0.03</v>
      </c>
      <c r="P11" s="64">
        <v>0.09</v>
      </c>
      <c r="R11" s="552"/>
    </row>
    <row r="12" spans="2:18" x14ac:dyDescent="0.3">
      <c r="B12" s="51" t="s">
        <v>30</v>
      </c>
      <c r="C12" s="52" t="s">
        <v>148</v>
      </c>
      <c r="D12" s="56" t="s">
        <v>191</v>
      </c>
      <c r="E12" s="51" t="s">
        <v>130</v>
      </c>
      <c r="F12" s="56" t="s">
        <v>322</v>
      </c>
      <c r="G12" s="65">
        <v>80768198</v>
      </c>
      <c r="H12" s="55">
        <v>1213014</v>
      </c>
      <c r="I12" s="55">
        <v>505000</v>
      </c>
      <c r="J12" s="53">
        <f>SUM(H12:I12)</f>
        <v>1718014</v>
      </c>
      <c r="K12" s="54">
        <v>44482</v>
      </c>
      <c r="L12" s="51">
        <f ca="1">TODAY()-K12</f>
        <v>64</v>
      </c>
      <c r="N12" s="64">
        <v>0.18</v>
      </c>
      <c r="O12" s="64">
        <v>0.03</v>
      </c>
      <c r="P12" s="64">
        <v>0.09</v>
      </c>
      <c r="R12" s="552"/>
    </row>
    <row r="13" spans="2:18" hidden="1" x14ac:dyDescent="0.3">
      <c r="B13" s="51" t="s">
        <v>28</v>
      </c>
      <c r="C13" s="52" t="s">
        <v>148</v>
      </c>
      <c r="D13" s="56" t="s">
        <v>191</v>
      </c>
      <c r="E13" s="51" t="s">
        <v>130</v>
      </c>
      <c r="F13" s="52" t="s">
        <v>113</v>
      </c>
      <c r="G13" s="65" t="s">
        <v>63</v>
      </c>
      <c r="H13" s="55"/>
      <c r="I13" s="55"/>
      <c r="J13" s="53">
        <f>SUM(H13:I13)</f>
        <v>0</v>
      </c>
      <c r="K13" s="53"/>
      <c r="L13" s="51"/>
      <c r="N13" s="64"/>
      <c r="O13" s="64"/>
      <c r="P13" s="64"/>
      <c r="R13" s="552"/>
    </row>
    <row r="14" spans="2:18" x14ac:dyDescent="0.3">
      <c r="B14" s="51" t="s">
        <v>26</v>
      </c>
      <c r="C14" s="52" t="s">
        <v>148</v>
      </c>
      <c r="D14" s="56" t="s">
        <v>191</v>
      </c>
      <c r="E14" s="51" t="s">
        <v>130</v>
      </c>
      <c r="F14" s="56" t="s">
        <v>228</v>
      </c>
      <c r="G14" s="66">
        <v>1070956306</v>
      </c>
      <c r="H14" s="55">
        <v>1180000</v>
      </c>
      <c r="I14" s="55">
        <v>505000</v>
      </c>
      <c r="J14" s="55">
        <f>SUM(H14:I14)</f>
        <v>1685000</v>
      </c>
      <c r="K14" s="58">
        <v>44144</v>
      </c>
      <c r="L14" s="51">
        <f ca="1">TODAY()-K14</f>
        <v>402</v>
      </c>
      <c r="N14" s="64">
        <v>0.18</v>
      </c>
      <c r="O14" s="64">
        <v>0.03</v>
      </c>
      <c r="P14" s="64">
        <v>0.09</v>
      </c>
      <c r="R14" s="552"/>
    </row>
    <row r="15" spans="2:18" hidden="1" x14ac:dyDescent="0.3">
      <c r="B15" s="51" t="s">
        <v>104</v>
      </c>
      <c r="C15" s="52" t="s">
        <v>148</v>
      </c>
      <c r="D15" s="52" t="s">
        <v>191</v>
      </c>
      <c r="E15" s="51" t="s">
        <v>130</v>
      </c>
      <c r="F15" s="56" t="s">
        <v>29</v>
      </c>
      <c r="G15" s="66" t="s">
        <v>63</v>
      </c>
      <c r="H15" s="55"/>
      <c r="I15" s="55"/>
      <c r="J15" s="53">
        <v>0</v>
      </c>
      <c r="K15" s="58"/>
      <c r="L15" s="51"/>
      <c r="N15" s="64"/>
      <c r="O15" s="64"/>
      <c r="P15" s="64"/>
    </row>
    <row r="16" spans="2:18" x14ac:dyDescent="0.3">
      <c r="B16" s="51" t="s">
        <v>27</v>
      </c>
      <c r="C16" s="52" t="s">
        <v>148</v>
      </c>
      <c r="D16" s="56" t="s">
        <v>191</v>
      </c>
      <c r="E16" s="51" t="s">
        <v>130</v>
      </c>
      <c r="F16" s="56" t="s">
        <v>166</v>
      </c>
      <c r="G16" s="65">
        <v>1033717712</v>
      </c>
      <c r="H16" s="55">
        <v>1663204.4105424001</v>
      </c>
      <c r="I16" s="55">
        <v>712801.90079999994</v>
      </c>
      <c r="J16" s="53">
        <f t="shared" ref="J16:J23" si="1">SUM(H16:I16)</f>
        <v>2376006.3113424</v>
      </c>
      <c r="K16" s="54">
        <v>43467</v>
      </c>
      <c r="L16" s="51">
        <f t="shared" ref="L16:L22" ca="1" si="2">TODAY()-K16</f>
        <v>1079</v>
      </c>
      <c r="N16" s="64"/>
      <c r="O16" s="64"/>
      <c r="P16" s="64"/>
    </row>
    <row r="17" spans="2:18" x14ac:dyDescent="0.3">
      <c r="B17" s="51" t="s">
        <v>34</v>
      </c>
      <c r="C17" s="52" t="s">
        <v>149</v>
      </c>
      <c r="D17" s="56" t="s">
        <v>189</v>
      </c>
      <c r="E17" s="51" t="s">
        <v>130</v>
      </c>
      <c r="F17" s="56" t="s">
        <v>162</v>
      </c>
      <c r="G17" s="65">
        <v>52019354</v>
      </c>
      <c r="H17" s="55">
        <v>1890005.0153423999</v>
      </c>
      <c r="I17" s="55">
        <v>810002.16</v>
      </c>
      <c r="J17" s="53">
        <f t="shared" si="1"/>
        <v>2700007.1753424001</v>
      </c>
      <c r="K17" s="54">
        <v>43486</v>
      </c>
      <c r="L17" s="51">
        <f t="shared" ca="1" si="2"/>
        <v>1060</v>
      </c>
      <c r="N17" s="64">
        <v>0.18</v>
      </c>
      <c r="O17" s="64">
        <v>0.03</v>
      </c>
      <c r="P17" s="64">
        <v>0.09</v>
      </c>
      <c r="R17" s="552"/>
    </row>
    <row r="18" spans="2:18" x14ac:dyDescent="0.3">
      <c r="B18" s="51" t="s">
        <v>32</v>
      </c>
      <c r="C18" s="52" t="s">
        <v>87</v>
      </c>
      <c r="D18" s="56" t="s">
        <v>189</v>
      </c>
      <c r="E18" s="51" t="s">
        <v>130</v>
      </c>
      <c r="F18" s="52" t="s">
        <v>169</v>
      </c>
      <c r="G18" s="65">
        <v>39536782</v>
      </c>
      <c r="H18" s="55">
        <v>2235833.5019328003</v>
      </c>
      <c r="I18" s="55">
        <v>670749.39139999996</v>
      </c>
      <c r="J18" s="53">
        <f t="shared" si="1"/>
        <v>2906582.8933328004</v>
      </c>
      <c r="K18" s="54">
        <v>33435</v>
      </c>
      <c r="L18" s="51">
        <f t="shared" ca="1" si="2"/>
        <v>11111</v>
      </c>
      <c r="N18" s="64">
        <v>0.18</v>
      </c>
      <c r="O18" s="64">
        <v>0.03</v>
      </c>
      <c r="P18" s="64">
        <v>0.09</v>
      </c>
      <c r="R18" s="552"/>
    </row>
    <row r="19" spans="2:18" x14ac:dyDescent="0.3">
      <c r="B19" s="51" t="s">
        <v>1074</v>
      </c>
      <c r="C19" s="52" t="s">
        <v>1073</v>
      </c>
      <c r="D19" s="52" t="s">
        <v>191</v>
      </c>
      <c r="E19" s="51" t="s">
        <v>131</v>
      </c>
      <c r="F19" s="52" t="s">
        <v>1076</v>
      </c>
      <c r="G19" s="65">
        <v>52324863</v>
      </c>
      <c r="H19" s="55"/>
      <c r="I19" s="55">
        <v>1900000</v>
      </c>
      <c r="J19" s="53"/>
      <c r="K19" s="54">
        <v>44502</v>
      </c>
      <c r="L19" s="51">
        <f t="shared" ca="1" si="2"/>
        <v>44</v>
      </c>
      <c r="N19" s="64"/>
      <c r="O19" s="64"/>
      <c r="P19" s="64"/>
      <c r="R19" s="552"/>
    </row>
    <row r="20" spans="2:18" x14ac:dyDescent="0.3">
      <c r="B20" s="129" t="s">
        <v>101</v>
      </c>
      <c r="C20" s="130" t="s">
        <v>102</v>
      </c>
      <c r="D20" s="279" t="s">
        <v>190</v>
      </c>
      <c r="E20" s="129" t="s">
        <v>132</v>
      </c>
      <c r="F20" s="130" t="s">
        <v>158</v>
      </c>
      <c r="G20" s="131">
        <v>1032405997</v>
      </c>
      <c r="H20" s="132">
        <v>13869900</v>
      </c>
      <c r="I20" s="132">
        <v>3595900</v>
      </c>
      <c r="J20" s="132">
        <f t="shared" si="1"/>
        <v>17465800</v>
      </c>
      <c r="K20" s="133">
        <v>43892</v>
      </c>
      <c r="L20" s="129">
        <f t="shared" ca="1" si="2"/>
        <v>654</v>
      </c>
      <c r="M20" s="134"/>
      <c r="N20" s="135">
        <v>0.18</v>
      </c>
      <c r="O20" s="135">
        <v>0.03</v>
      </c>
      <c r="P20" s="135">
        <v>0.09</v>
      </c>
      <c r="R20" s="552"/>
    </row>
    <row r="21" spans="2:18" x14ac:dyDescent="0.3">
      <c r="B21" s="129" t="s">
        <v>184</v>
      </c>
      <c r="C21" s="130" t="s">
        <v>102</v>
      </c>
      <c r="D21" s="279" t="s">
        <v>190</v>
      </c>
      <c r="E21" s="129" t="s">
        <v>181</v>
      </c>
      <c r="F21" s="279" t="s">
        <v>201</v>
      </c>
      <c r="G21" s="280">
        <v>1026255257</v>
      </c>
      <c r="H21" s="136">
        <v>11810838</v>
      </c>
      <c r="I21" s="136">
        <f>H21*30%</f>
        <v>3543251.4</v>
      </c>
      <c r="J21" s="136">
        <f t="shared" si="1"/>
        <v>15354089.4</v>
      </c>
      <c r="K21" s="281">
        <v>43962</v>
      </c>
      <c r="L21" s="282">
        <f t="shared" ca="1" si="2"/>
        <v>584</v>
      </c>
      <c r="M21" s="138"/>
      <c r="N21" s="135">
        <v>0.18</v>
      </c>
      <c r="O21" s="135">
        <v>0.03</v>
      </c>
      <c r="P21" s="135">
        <v>0.09</v>
      </c>
    </row>
    <row r="22" spans="2:18" x14ac:dyDescent="0.3">
      <c r="B22" s="51" t="s">
        <v>298</v>
      </c>
      <c r="C22" s="52" t="s">
        <v>299</v>
      </c>
      <c r="D22" s="56" t="s">
        <v>189</v>
      </c>
      <c r="E22" s="51" t="s">
        <v>129</v>
      </c>
      <c r="F22" s="56" t="s">
        <v>170</v>
      </c>
      <c r="G22" s="65">
        <v>13957442</v>
      </c>
      <c r="H22" s="55">
        <v>1744202.4813312001</v>
      </c>
      <c r="I22" s="55">
        <v>711106.69079999998</v>
      </c>
      <c r="J22" s="53">
        <f t="shared" si="1"/>
        <v>2455309.1721312003</v>
      </c>
      <c r="K22" s="54">
        <v>43622</v>
      </c>
      <c r="L22" s="51">
        <f t="shared" ca="1" si="2"/>
        <v>924</v>
      </c>
      <c r="N22" s="64">
        <v>0.18</v>
      </c>
      <c r="O22" s="64">
        <v>0.03</v>
      </c>
      <c r="P22" s="64">
        <v>0.09</v>
      </c>
      <c r="R22" s="552"/>
    </row>
    <row r="23" spans="2:18" x14ac:dyDescent="0.3">
      <c r="B23" s="51" t="s">
        <v>59</v>
      </c>
      <c r="C23" s="52" t="s">
        <v>1</v>
      </c>
      <c r="D23" s="56" t="s">
        <v>192</v>
      </c>
      <c r="E23" s="51" t="s">
        <v>114</v>
      </c>
      <c r="F23" s="52" t="s">
        <v>60</v>
      </c>
      <c r="G23" s="65" t="s">
        <v>91</v>
      </c>
      <c r="H23" s="55"/>
      <c r="I23" s="55"/>
      <c r="J23" s="53">
        <f t="shared" si="1"/>
        <v>0</v>
      </c>
      <c r="K23" s="53"/>
      <c r="L23" s="51"/>
      <c r="N23" s="64"/>
      <c r="O23" s="64"/>
      <c r="P23" s="64"/>
    </row>
    <row r="24" spans="2:18" hidden="1" x14ac:dyDescent="0.3">
      <c r="B24" s="51" t="s">
        <v>38</v>
      </c>
      <c r="C24" s="52" t="s">
        <v>155</v>
      </c>
      <c r="D24" s="52" t="s">
        <v>191</v>
      </c>
      <c r="E24" s="51" t="s">
        <v>130</v>
      </c>
      <c r="F24" s="56" t="s">
        <v>29</v>
      </c>
      <c r="G24" s="66" t="s">
        <v>63</v>
      </c>
      <c r="H24" s="55"/>
      <c r="I24" s="55"/>
      <c r="J24" s="53">
        <v>0</v>
      </c>
      <c r="K24" s="58"/>
      <c r="L24" s="51"/>
      <c r="M24" s="59"/>
      <c r="N24" s="64">
        <v>0.21</v>
      </c>
      <c r="O24" s="64">
        <v>0</v>
      </c>
      <c r="P24" s="64">
        <v>0.09</v>
      </c>
    </row>
    <row r="25" spans="2:18" hidden="1" x14ac:dyDescent="0.3">
      <c r="B25" s="51" t="s">
        <v>51</v>
      </c>
      <c r="C25" s="52" t="s">
        <v>48</v>
      </c>
      <c r="D25" s="56" t="s">
        <v>192</v>
      </c>
      <c r="E25" s="51" t="s">
        <v>114</v>
      </c>
      <c r="F25" s="52" t="s">
        <v>52</v>
      </c>
      <c r="G25" s="65" t="s">
        <v>64</v>
      </c>
      <c r="H25" s="55"/>
      <c r="I25" s="55"/>
      <c r="J25" s="53">
        <f>SUM(H25:I25)</f>
        <v>0</v>
      </c>
      <c r="K25" s="53"/>
      <c r="L25" s="51"/>
      <c r="N25" s="64"/>
      <c r="O25" s="64"/>
      <c r="P25" s="64"/>
      <c r="R25" s="552"/>
    </row>
    <row r="26" spans="2:18" hidden="1" x14ac:dyDescent="0.3">
      <c r="B26" s="51" t="s">
        <v>49</v>
      </c>
      <c r="C26" s="52" t="s">
        <v>48</v>
      </c>
      <c r="D26" s="56" t="s">
        <v>192</v>
      </c>
      <c r="E26" s="51" t="s">
        <v>114</v>
      </c>
      <c r="F26" s="52" t="s">
        <v>50</v>
      </c>
      <c r="G26" s="65" t="s">
        <v>64</v>
      </c>
      <c r="H26" s="55"/>
      <c r="I26" s="55"/>
      <c r="J26" s="53">
        <f>SUM(H26:I26)</f>
        <v>0</v>
      </c>
      <c r="K26" s="53"/>
      <c r="L26" s="51"/>
      <c r="N26" s="64"/>
      <c r="O26" s="64"/>
      <c r="P26" s="64"/>
      <c r="R26" s="552"/>
    </row>
    <row r="27" spans="2:18" x14ac:dyDescent="0.3">
      <c r="B27" s="51" t="s">
        <v>151</v>
      </c>
      <c r="C27" s="52" t="s">
        <v>48</v>
      </c>
      <c r="D27" s="56" t="s">
        <v>189</v>
      </c>
      <c r="E27" s="51" t="s">
        <v>129</v>
      </c>
      <c r="F27" s="56" t="s">
        <v>167</v>
      </c>
      <c r="G27" s="65">
        <v>1055312394</v>
      </c>
      <c r="H27" s="55">
        <v>1750000</v>
      </c>
      <c r="I27" s="55">
        <v>711106</v>
      </c>
      <c r="J27" s="53">
        <v>1881169.4</v>
      </c>
      <c r="K27" s="54">
        <v>43746</v>
      </c>
      <c r="L27" s="51">
        <f ca="1">TODAY()-K27</f>
        <v>800</v>
      </c>
      <c r="N27" s="64"/>
      <c r="O27" s="64"/>
      <c r="P27" s="64"/>
    </row>
    <row r="28" spans="2:18" hidden="1" x14ac:dyDescent="0.3">
      <c r="B28" s="51" t="s">
        <v>55</v>
      </c>
      <c r="C28" s="52" t="s">
        <v>53</v>
      </c>
      <c r="D28" s="52" t="s">
        <v>191</v>
      </c>
      <c r="E28" s="51" t="s">
        <v>130</v>
      </c>
      <c r="F28" s="52" t="s">
        <v>29</v>
      </c>
      <c r="G28" s="65" t="s">
        <v>63</v>
      </c>
      <c r="H28" s="55"/>
      <c r="I28" s="55"/>
      <c r="J28" s="53">
        <f t="shared" ref="J28:J43" si="3">SUM(H28:I28)</f>
        <v>0</v>
      </c>
      <c r="K28" s="53"/>
      <c r="L28" s="51"/>
      <c r="N28" s="64"/>
      <c r="O28" s="64"/>
      <c r="P28" s="64"/>
      <c r="R28" s="552"/>
    </row>
    <row r="29" spans="2:18" x14ac:dyDescent="0.3">
      <c r="B29" s="51" t="s">
        <v>54</v>
      </c>
      <c r="C29" s="52" t="s">
        <v>53</v>
      </c>
      <c r="D29" s="56" t="s">
        <v>191</v>
      </c>
      <c r="E29" s="51" t="s">
        <v>130</v>
      </c>
      <c r="F29" s="52" t="s">
        <v>109</v>
      </c>
      <c r="G29" s="65">
        <v>1098712340</v>
      </c>
      <c r="H29" s="55">
        <v>1427074.7753856</v>
      </c>
      <c r="I29" s="55">
        <v>611603.00080000004</v>
      </c>
      <c r="J29" s="53">
        <f t="shared" si="3"/>
        <v>2038677.7761856001</v>
      </c>
      <c r="K29" s="54">
        <v>43468</v>
      </c>
      <c r="L29" s="51">
        <f t="shared" ref="L29:L38" ca="1" si="4">TODAY()-K29</f>
        <v>1078</v>
      </c>
      <c r="N29" s="64">
        <v>0.18</v>
      </c>
      <c r="O29" s="64">
        <v>0.03</v>
      </c>
      <c r="P29" s="64">
        <v>0.09</v>
      </c>
      <c r="R29" s="552"/>
    </row>
    <row r="30" spans="2:18" x14ac:dyDescent="0.3">
      <c r="B30" s="51" t="s">
        <v>323</v>
      </c>
      <c r="C30" s="52" t="s">
        <v>324</v>
      </c>
      <c r="D30" s="56" t="s">
        <v>191</v>
      </c>
      <c r="E30" s="51" t="s">
        <v>129</v>
      </c>
      <c r="F30" s="52" t="s">
        <v>165</v>
      </c>
      <c r="G30" s="65">
        <v>80211959</v>
      </c>
      <c r="H30" s="55">
        <v>1750000</v>
      </c>
      <c r="I30" s="55">
        <v>711106</v>
      </c>
      <c r="J30" s="53">
        <f t="shared" si="3"/>
        <v>2461106</v>
      </c>
      <c r="K30" s="54">
        <v>43844</v>
      </c>
      <c r="L30" s="51">
        <f t="shared" ca="1" si="4"/>
        <v>702</v>
      </c>
      <c r="N30" s="64"/>
      <c r="O30" s="64"/>
      <c r="P30" s="64"/>
      <c r="R30" s="552"/>
    </row>
    <row r="31" spans="2:18" x14ac:dyDescent="0.3">
      <c r="B31" s="51" t="s">
        <v>47</v>
      </c>
      <c r="C31" s="52" t="s">
        <v>264</v>
      </c>
      <c r="D31" s="56" t="s">
        <v>191</v>
      </c>
      <c r="E31" s="51" t="s">
        <v>130</v>
      </c>
      <c r="F31" s="56" t="s">
        <v>301</v>
      </c>
      <c r="G31" s="65">
        <v>1018453232</v>
      </c>
      <c r="H31" s="55">
        <v>1200000</v>
      </c>
      <c r="I31" s="55">
        <v>505999</v>
      </c>
      <c r="J31" s="53">
        <f t="shared" si="3"/>
        <v>1705999</v>
      </c>
      <c r="K31" s="54">
        <v>44461</v>
      </c>
      <c r="L31" s="51">
        <f t="shared" ca="1" si="4"/>
        <v>85</v>
      </c>
      <c r="N31" s="64">
        <v>0.18</v>
      </c>
      <c r="O31" s="64">
        <v>0.03</v>
      </c>
      <c r="P31" s="64">
        <v>0.09</v>
      </c>
      <c r="R31" s="552"/>
    </row>
    <row r="32" spans="2:18" x14ac:dyDescent="0.3">
      <c r="B32" s="51" t="s">
        <v>455</v>
      </c>
      <c r="C32" s="52" t="s">
        <v>264</v>
      </c>
      <c r="D32" s="56" t="s">
        <v>191</v>
      </c>
      <c r="E32" s="51" t="s">
        <v>130</v>
      </c>
      <c r="F32" s="56" t="s">
        <v>639</v>
      </c>
      <c r="G32" s="65">
        <v>79745362</v>
      </c>
      <c r="H32" s="55">
        <v>1213014</v>
      </c>
      <c r="I32" s="55">
        <v>505999</v>
      </c>
      <c r="J32" s="53">
        <f t="shared" si="3"/>
        <v>1719013</v>
      </c>
      <c r="K32" s="54">
        <v>44522</v>
      </c>
      <c r="L32" s="51">
        <f t="shared" ca="1" si="4"/>
        <v>24</v>
      </c>
      <c r="N32" s="64"/>
      <c r="O32" s="64"/>
      <c r="P32" s="64"/>
      <c r="R32" s="552"/>
    </row>
    <row r="33" spans="2:18" x14ac:dyDescent="0.3">
      <c r="B33" s="51" t="s">
        <v>292</v>
      </c>
      <c r="C33" s="52" t="s">
        <v>264</v>
      </c>
      <c r="D33" s="56" t="s">
        <v>191</v>
      </c>
      <c r="E33" s="51" t="s">
        <v>130</v>
      </c>
      <c r="F33" s="56" t="s">
        <v>302</v>
      </c>
      <c r="G33" s="65">
        <v>1012357599</v>
      </c>
      <c r="H33" s="55">
        <v>1200000</v>
      </c>
      <c r="I33" s="55">
        <v>505999</v>
      </c>
      <c r="J33" s="53">
        <f t="shared" si="3"/>
        <v>1705999</v>
      </c>
      <c r="K33" s="54">
        <v>44461</v>
      </c>
      <c r="L33" s="51">
        <f t="shared" ca="1" si="4"/>
        <v>85</v>
      </c>
      <c r="N33" s="64"/>
      <c r="O33" s="64"/>
      <c r="P33" s="64"/>
    </row>
    <row r="34" spans="2:18" x14ac:dyDescent="0.3">
      <c r="B34" s="187" t="s">
        <v>40</v>
      </c>
      <c r="C34" s="52" t="s">
        <v>264</v>
      </c>
      <c r="D34" s="56" t="s">
        <v>191</v>
      </c>
      <c r="E34" s="51" t="s">
        <v>130</v>
      </c>
      <c r="F34" s="56" t="s">
        <v>164</v>
      </c>
      <c r="G34" s="65">
        <v>79906735</v>
      </c>
      <c r="H34" s="55">
        <v>1213013.8648319999</v>
      </c>
      <c r="I34" s="55">
        <v>519863.3726</v>
      </c>
      <c r="J34" s="53">
        <f t="shared" si="3"/>
        <v>1732877.2374319998</v>
      </c>
      <c r="K34" s="54">
        <v>43467</v>
      </c>
      <c r="L34" s="51">
        <f t="shared" ca="1" si="4"/>
        <v>1079</v>
      </c>
      <c r="N34" s="64">
        <v>0.18</v>
      </c>
      <c r="O34" s="64">
        <v>0.03</v>
      </c>
      <c r="P34" s="64">
        <v>0.09</v>
      </c>
      <c r="R34" s="552"/>
    </row>
    <row r="35" spans="2:18" x14ac:dyDescent="0.3">
      <c r="B35" s="51" t="s">
        <v>44</v>
      </c>
      <c r="C35" s="52" t="s">
        <v>264</v>
      </c>
      <c r="D35" s="56" t="s">
        <v>191</v>
      </c>
      <c r="E35" s="51" t="s">
        <v>130</v>
      </c>
      <c r="F35" s="56" t="s">
        <v>277</v>
      </c>
      <c r="G35" s="65">
        <v>80181663</v>
      </c>
      <c r="H35" s="55">
        <v>1200000</v>
      </c>
      <c r="I35" s="55">
        <v>505999</v>
      </c>
      <c r="J35" s="53">
        <f t="shared" si="3"/>
        <v>1705999</v>
      </c>
      <c r="K35" s="54">
        <v>44383</v>
      </c>
      <c r="L35" s="51">
        <f t="shared" ca="1" si="4"/>
        <v>163</v>
      </c>
      <c r="N35" s="64"/>
      <c r="O35" s="64"/>
      <c r="P35" s="64"/>
      <c r="R35" s="552"/>
    </row>
    <row r="36" spans="2:18" x14ac:dyDescent="0.3">
      <c r="B36" s="51" t="s">
        <v>43</v>
      </c>
      <c r="C36" s="52" t="s">
        <v>264</v>
      </c>
      <c r="D36" s="56" t="s">
        <v>191</v>
      </c>
      <c r="E36" s="51" t="s">
        <v>130</v>
      </c>
      <c r="F36" s="56" t="s">
        <v>276</v>
      </c>
      <c r="G36" s="65">
        <v>1010178894</v>
      </c>
      <c r="H36" s="55">
        <v>1200000</v>
      </c>
      <c r="I36" s="55">
        <v>505999</v>
      </c>
      <c r="J36" s="53">
        <f t="shared" si="3"/>
        <v>1705999</v>
      </c>
      <c r="K36" s="54">
        <v>44383</v>
      </c>
      <c r="L36" s="51">
        <f t="shared" ca="1" si="4"/>
        <v>163</v>
      </c>
      <c r="N36" s="64"/>
      <c r="O36" s="64"/>
      <c r="P36" s="64"/>
    </row>
    <row r="37" spans="2:18" hidden="1" x14ac:dyDescent="0.3">
      <c r="B37" s="51" t="s">
        <v>58</v>
      </c>
      <c r="C37" s="52" t="s">
        <v>56</v>
      </c>
      <c r="D37" s="52" t="s">
        <v>189</v>
      </c>
      <c r="E37" s="51" t="s">
        <v>130</v>
      </c>
      <c r="F37" s="56" t="s">
        <v>29</v>
      </c>
      <c r="G37" s="65" t="s">
        <v>63</v>
      </c>
      <c r="H37" s="53"/>
      <c r="I37" s="53"/>
      <c r="J37" s="53">
        <f t="shared" si="3"/>
        <v>0</v>
      </c>
      <c r="K37" s="54"/>
      <c r="L37" s="51"/>
      <c r="N37" s="64">
        <v>0.18</v>
      </c>
      <c r="O37" s="64">
        <v>0.03</v>
      </c>
      <c r="P37" s="64">
        <v>0.09</v>
      </c>
    </row>
    <row r="38" spans="2:18" x14ac:dyDescent="0.3">
      <c r="B38" s="51" t="s">
        <v>57</v>
      </c>
      <c r="C38" s="52" t="s">
        <v>56</v>
      </c>
      <c r="D38" s="56" t="s">
        <v>191</v>
      </c>
      <c r="E38" s="51" t="s">
        <v>130</v>
      </c>
      <c r="F38" s="52" t="s">
        <v>1070</v>
      </c>
      <c r="G38" s="65">
        <v>1118298495</v>
      </c>
      <c r="H38" s="55">
        <v>1350000</v>
      </c>
      <c r="I38" s="55">
        <v>1500000</v>
      </c>
      <c r="J38" s="53">
        <f t="shared" si="3"/>
        <v>2850000</v>
      </c>
      <c r="K38" s="54">
        <v>44518</v>
      </c>
      <c r="L38" s="51">
        <f t="shared" ca="1" si="4"/>
        <v>28</v>
      </c>
      <c r="N38" s="64"/>
      <c r="O38" s="64"/>
      <c r="P38" s="64"/>
      <c r="R38" s="552"/>
    </row>
    <row r="39" spans="2:18" hidden="1" x14ac:dyDescent="0.3">
      <c r="B39" s="129" t="s">
        <v>94</v>
      </c>
      <c r="C39" s="130" t="s">
        <v>33</v>
      </c>
      <c r="D39" s="130"/>
      <c r="E39" s="129" t="s">
        <v>131</v>
      </c>
      <c r="F39" s="130" t="s">
        <v>29</v>
      </c>
      <c r="G39" s="131" t="s">
        <v>63</v>
      </c>
      <c r="H39" s="132"/>
      <c r="I39" s="136"/>
      <c r="J39" s="132">
        <f t="shared" si="3"/>
        <v>0</v>
      </c>
      <c r="K39" s="133"/>
      <c r="L39" s="129"/>
      <c r="M39" s="138"/>
      <c r="N39" s="135">
        <v>0.18</v>
      </c>
      <c r="O39" s="135">
        <v>0.03</v>
      </c>
      <c r="P39" s="135">
        <v>0.09</v>
      </c>
      <c r="R39" s="552"/>
    </row>
    <row r="40" spans="2:18" hidden="1" x14ac:dyDescent="0.3">
      <c r="B40" s="51" t="s">
        <v>37</v>
      </c>
      <c r="C40" s="52" t="s">
        <v>33</v>
      </c>
      <c r="D40" s="52" t="s">
        <v>189</v>
      </c>
      <c r="E40" s="51" t="s">
        <v>130</v>
      </c>
      <c r="F40" s="52" t="s">
        <v>29</v>
      </c>
      <c r="G40" s="65" t="s">
        <v>63</v>
      </c>
      <c r="H40" s="55"/>
      <c r="I40" s="55"/>
      <c r="J40" s="53">
        <f t="shared" si="3"/>
        <v>0</v>
      </c>
      <c r="K40" s="53"/>
      <c r="L40" s="51"/>
      <c r="N40" s="64"/>
      <c r="O40" s="64"/>
      <c r="P40" s="64"/>
    </row>
    <row r="41" spans="2:18" hidden="1" x14ac:dyDescent="0.3">
      <c r="B41" s="51" t="s">
        <v>35</v>
      </c>
      <c r="C41" s="52" t="s">
        <v>33</v>
      </c>
      <c r="D41" s="520" t="s">
        <v>189</v>
      </c>
      <c r="E41" s="51" t="s">
        <v>130</v>
      </c>
      <c r="F41" s="56" t="s">
        <v>29</v>
      </c>
      <c r="G41" s="66" t="s">
        <v>63</v>
      </c>
      <c r="H41" s="55">
        <v>0</v>
      </c>
      <c r="I41" s="55">
        <v>0</v>
      </c>
      <c r="J41" s="53">
        <f t="shared" si="3"/>
        <v>0</v>
      </c>
      <c r="K41" s="54"/>
      <c r="L41" s="51"/>
      <c r="N41" s="64">
        <v>0.18</v>
      </c>
      <c r="O41" s="64">
        <v>0.03</v>
      </c>
      <c r="P41" s="64">
        <v>0.09</v>
      </c>
      <c r="R41" s="552"/>
    </row>
    <row r="42" spans="2:18" x14ac:dyDescent="0.3">
      <c r="B42" s="51" t="s">
        <v>173</v>
      </c>
      <c r="C42" s="52" t="s">
        <v>175</v>
      </c>
      <c r="D42" s="56" t="s">
        <v>189</v>
      </c>
      <c r="E42" s="51" t="s">
        <v>130</v>
      </c>
      <c r="F42" s="52" t="s">
        <v>1069</v>
      </c>
      <c r="G42" s="65">
        <v>1114388535</v>
      </c>
      <c r="H42" s="55">
        <v>1213014</v>
      </c>
      <c r="I42" s="55">
        <v>523974</v>
      </c>
      <c r="J42" s="53">
        <f t="shared" si="3"/>
        <v>1736988</v>
      </c>
      <c r="K42" s="54">
        <v>44502</v>
      </c>
      <c r="L42" s="51">
        <f ca="1">TODAY()-K42</f>
        <v>44</v>
      </c>
      <c r="N42" s="64"/>
      <c r="O42" s="64"/>
      <c r="P42" s="64"/>
      <c r="R42" s="552"/>
    </row>
    <row r="43" spans="2:18" x14ac:dyDescent="0.3">
      <c r="B43" s="51" t="s">
        <v>36</v>
      </c>
      <c r="C43" s="52" t="s">
        <v>176</v>
      </c>
      <c r="D43" s="56" t="s">
        <v>191</v>
      </c>
      <c r="E43" s="51" t="s">
        <v>130</v>
      </c>
      <c r="F43" s="52" t="s">
        <v>1069</v>
      </c>
      <c r="G43" s="65">
        <v>1114388535</v>
      </c>
      <c r="H43" s="55">
        <v>1213014</v>
      </c>
      <c r="I43" s="55">
        <v>523974</v>
      </c>
      <c r="J43" s="53">
        <f t="shared" si="3"/>
        <v>1736988</v>
      </c>
      <c r="K43" s="54">
        <v>44502</v>
      </c>
      <c r="L43" s="51">
        <f ca="1">TODAY()-K43</f>
        <v>44</v>
      </c>
      <c r="N43" s="64">
        <v>0.18</v>
      </c>
      <c r="O43" s="64">
        <v>0.03</v>
      </c>
      <c r="P43" s="64">
        <v>0.09</v>
      </c>
      <c r="R43" s="552"/>
    </row>
    <row r="46" spans="2:18" x14ac:dyDescent="0.3">
      <c r="I46" s="62"/>
    </row>
    <row r="53" spans="7:7" x14ac:dyDescent="0.3">
      <c r="G53" s="551"/>
    </row>
  </sheetData>
  <autoFilter ref="B1:P43" xr:uid="{7593D6AF-B48B-4C1B-8BF0-0C96B81AE050}">
    <filterColumn colId="4">
      <filters>
        <filter val="ALVARADO GUERRERO  DORIS"/>
        <filter val="BARRAGAN RAMIREZ GLORIA ASTRID"/>
        <filter val="CARDOZO VILLAMIL INGRID MARYOLI"/>
        <filter val="CASTAÑO BEJARANO CARLOS ANDRÉS"/>
        <filter val="Fabian Vargas"/>
        <filter val="FONTECHA GONZALEZ HERNANDO"/>
        <filter val="GONZALEZ GONZALEZ CESAR ALBERTO"/>
        <filter val="GONZALEZ LINA JOHANA"/>
        <filter val="GUZMAN AVILA JULIANA"/>
        <filter val="HERNANDEZ NEIRA CHRISTIAN CAMILO"/>
        <filter val="LOPEZ LOPEZ MARTHA SIRLEY"/>
        <filter val="LOPEZ OSPINA LILIANA"/>
        <filter val="MARTINEZ GUERRERO YULI ANDREA"/>
        <filter val="MAURICIO RIVEROS CORTES"/>
        <filter val="OCHOA TELLEZ YILFER ERNESTO"/>
        <filter val="PEÑA SERRANO WILLIAM"/>
        <filter val="QUICENO BARRERA YURLEY ROCIO"/>
        <filter val="RIVAS PENAGOS ELIZABETH"/>
        <filter val="RIVEROS TORRES CESAR ARIEL"/>
        <filter val="RODRIGUEZ MONTAÑA OSCAR JAVIER"/>
        <filter val="RUBIANO ZIPACON BORIS RENE"/>
        <filter val="SARMIENTO AGUIRRE JONNATHAN"/>
        <filter val="SEGURA CAMACHO MARYSOL"/>
        <filter val="TANGARIFE BAUTISTA NATALI"/>
      </filters>
    </filterColumn>
    <sortState xmlns:xlrd2="http://schemas.microsoft.com/office/spreadsheetml/2017/richdata2" ref="B2:P43">
      <sortCondition ref="C1:C43"/>
    </sortState>
  </autoFilter>
  <phoneticPr fontId="12" type="noConversion"/>
  <conditionalFormatting sqref="L16:L24 L36:L37 L40 L27:L34 L2:L14">
    <cfRule type="cellIs" dxfId="18" priority="11" operator="lessThan">
      <formula>60</formula>
    </cfRule>
  </conditionalFormatting>
  <conditionalFormatting sqref="L1">
    <cfRule type="cellIs" dxfId="17" priority="10" operator="lessThan">
      <formula>60</formula>
    </cfRule>
  </conditionalFormatting>
  <conditionalFormatting sqref="L15">
    <cfRule type="cellIs" dxfId="16" priority="7" operator="lessThan">
      <formula>60</formula>
    </cfRule>
  </conditionalFormatting>
  <conditionalFormatting sqref="L41">
    <cfRule type="cellIs" dxfId="15" priority="8" operator="lessThan">
      <formula>60</formula>
    </cfRule>
  </conditionalFormatting>
  <conditionalFormatting sqref="L25">
    <cfRule type="cellIs" dxfId="14" priority="6" operator="lessThan">
      <formula>60</formula>
    </cfRule>
  </conditionalFormatting>
  <conditionalFormatting sqref="L35">
    <cfRule type="cellIs" dxfId="13" priority="5" operator="lessThan">
      <formula>60</formula>
    </cfRule>
  </conditionalFormatting>
  <conditionalFormatting sqref="L39">
    <cfRule type="cellIs" dxfId="12" priority="4" operator="lessThan">
      <formula>60</formula>
    </cfRule>
  </conditionalFormatting>
  <conditionalFormatting sqref="L26">
    <cfRule type="cellIs" dxfId="11" priority="3" operator="lessThan">
      <formula>60</formula>
    </cfRule>
  </conditionalFormatting>
  <conditionalFormatting sqref="L42:L43">
    <cfRule type="cellIs" dxfId="10" priority="2" operator="lessThan">
      <formula>60</formula>
    </cfRule>
  </conditionalFormatting>
  <conditionalFormatting sqref="L38">
    <cfRule type="cellIs" dxfId="9" priority="1" operator="lessThan">
      <formula>60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285C-495D-4965-9F11-977DE696263E}">
  <sheetPr codeName="Hoja4"/>
  <dimension ref="B1:AF69"/>
  <sheetViews>
    <sheetView showGridLines="0" workbookViewId="0">
      <selection activeCell="I39" sqref="I39"/>
    </sheetView>
  </sheetViews>
  <sheetFormatPr baseColWidth="10" defaultColWidth="11.5546875" defaultRowHeight="14.4" x14ac:dyDescent="0.3"/>
  <cols>
    <col min="1" max="1" width="1.44140625" customWidth="1"/>
    <col min="2" max="2" width="13.88671875" style="50" hidden="1" customWidth="1"/>
    <col min="3" max="3" width="12.88671875" style="50" hidden="1" customWidth="1"/>
    <col min="4" max="4" width="15.109375" style="50" hidden="1" customWidth="1"/>
    <col min="5" max="5" width="1.88671875" style="50" customWidth="1"/>
    <col min="6" max="6" width="13.109375" style="50" customWidth="1"/>
    <col min="7" max="7" width="16.33203125" style="50" customWidth="1"/>
    <col min="8" max="8" width="14.6640625" style="50" customWidth="1"/>
    <col min="9" max="9" width="10.44140625" style="50" customWidth="1"/>
    <col min="10" max="10" width="10.44140625" style="50" hidden="1" customWidth="1"/>
    <col min="11" max="11" width="14.6640625" style="50" hidden="1" customWidth="1"/>
    <col min="12" max="12" width="13.6640625" style="50" hidden="1" customWidth="1"/>
    <col min="13" max="13" width="10.109375" style="50" hidden="1" customWidth="1"/>
    <col min="14" max="14" width="10.6640625" style="50" hidden="1" customWidth="1"/>
    <col min="15" max="15" width="9.88671875" style="50" hidden="1" customWidth="1"/>
    <col min="16" max="17" width="12.44140625" customWidth="1"/>
    <col min="18" max="18" width="8.88671875" style="185" customWidth="1"/>
    <col min="19" max="19" width="12" style="185" customWidth="1"/>
    <col min="20" max="20" width="10.44140625" style="185" customWidth="1"/>
    <col min="21" max="21" width="1.6640625" customWidth="1"/>
    <col min="22" max="22" width="7.88671875" customWidth="1"/>
    <col min="23" max="23" width="12" customWidth="1"/>
    <col min="24" max="24" width="11.5546875" customWidth="1"/>
    <col min="25" max="27" width="14" customWidth="1"/>
    <col min="28" max="28" width="13" customWidth="1"/>
    <col min="29" max="32" width="11.5546875" customWidth="1"/>
  </cols>
  <sheetData>
    <row r="1" spans="2:20" ht="5.25" customHeight="1" x14ac:dyDescent="0.3"/>
    <row r="2" spans="2:20" ht="26.4" x14ac:dyDescent="0.3">
      <c r="C2" s="124" t="s">
        <v>138</v>
      </c>
      <c r="D2" s="124" t="s">
        <v>139</v>
      </c>
      <c r="G2" s="124" t="s">
        <v>138</v>
      </c>
      <c r="H2" s="124" t="s">
        <v>139</v>
      </c>
      <c r="L2" s="69" t="s">
        <v>123</v>
      </c>
      <c r="M2" s="70" t="s">
        <v>133</v>
      </c>
      <c r="N2" s="71" t="s">
        <v>134</v>
      </c>
      <c r="O2" s="72" t="s">
        <v>137</v>
      </c>
      <c r="R2"/>
      <c r="S2"/>
      <c r="T2"/>
    </row>
    <row r="3" spans="2:20" ht="6" customHeight="1" thickBot="1" x14ac:dyDescent="0.35">
      <c r="R3"/>
      <c r="S3"/>
      <c r="T3"/>
    </row>
    <row r="4" spans="2:20" ht="15" customHeight="1" x14ac:dyDescent="0.3">
      <c r="B4" s="847" t="s">
        <v>13</v>
      </c>
      <c r="C4" s="471">
        <v>0.89990000000000003</v>
      </c>
      <c r="D4" s="125">
        <v>0</v>
      </c>
      <c r="F4" s="847" t="s">
        <v>13</v>
      </c>
      <c r="G4" s="465">
        <v>0.84989999999999999</v>
      </c>
      <c r="H4" s="466">
        <v>0</v>
      </c>
      <c r="K4" s="876" t="s">
        <v>100</v>
      </c>
      <c r="L4" s="101">
        <v>0.18</v>
      </c>
      <c r="M4" s="101">
        <v>0.03</v>
      </c>
      <c r="N4" s="101">
        <v>0.09</v>
      </c>
      <c r="O4" s="102">
        <f>SUM(L4:N4)</f>
        <v>0.3</v>
      </c>
      <c r="R4"/>
      <c r="S4"/>
      <c r="T4"/>
    </row>
    <row r="5" spans="2:20" x14ac:dyDescent="0.3">
      <c r="B5" s="848"/>
      <c r="C5" s="472">
        <v>0.9</v>
      </c>
      <c r="D5" s="126">
        <v>0.7</v>
      </c>
      <c r="F5" s="848"/>
      <c r="G5" s="467">
        <v>0.85</v>
      </c>
      <c r="H5" s="468">
        <v>0.6</v>
      </c>
      <c r="K5" s="877"/>
      <c r="L5" s="75">
        <f>(L4*$O$5)/$O$4</f>
        <v>0.6</v>
      </c>
      <c r="M5" s="75">
        <f>(M4*$O$5)/$O$4</f>
        <v>0.1</v>
      </c>
      <c r="N5" s="75">
        <f>(N4*$O$5)/$O$4</f>
        <v>0.3</v>
      </c>
      <c r="O5" s="103">
        <v>1</v>
      </c>
      <c r="R5"/>
      <c r="S5"/>
      <c r="T5"/>
    </row>
    <row r="6" spans="2:20" x14ac:dyDescent="0.3">
      <c r="B6" s="848"/>
      <c r="C6" s="473">
        <v>0.94989999999999997</v>
      </c>
      <c r="D6" s="127"/>
      <c r="F6" s="848"/>
      <c r="G6" s="469">
        <v>0.89990000000000003</v>
      </c>
      <c r="H6" s="468"/>
      <c r="K6" s="850" t="s">
        <v>19</v>
      </c>
      <c r="L6" s="73">
        <v>0.18</v>
      </c>
      <c r="M6" s="73">
        <v>0.03</v>
      </c>
      <c r="N6" s="73">
        <v>0.09</v>
      </c>
      <c r="O6" s="104">
        <f>SUM(L6:N6)</f>
        <v>0.3</v>
      </c>
      <c r="R6"/>
      <c r="S6"/>
      <c r="T6"/>
    </row>
    <row r="7" spans="2:20" x14ac:dyDescent="0.3">
      <c r="B7" s="848"/>
      <c r="C7" s="474">
        <v>0.95</v>
      </c>
      <c r="D7" s="870" t="s">
        <v>12</v>
      </c>
      <c r="F7" s="848"/>
      <c r="G7" s="470">
        <v>0.9</v>
      </c>
      <c r="H7" s="126">
        <v>0.7</v>
      </c>
      <c r="K7" s="877"/>
      <c r="L7" s="78">
        <f>(L6*$O$7)/$O$6</f>
        <v>0.6</v>
      </c>
      <c r="M7" s="78">
        <f>(M6*$O$7)/$O$6</f>
        <v>0.1</v>
      </c>
      <c r="N7" s="78">
        <f>(N6*$O$7)/$O$6</f>
        <v>0.3</v>
      </c>
      <c r="O7" s="103">
        <v>1</v>
      </c>
      <c r="R7"/>
      <c r="S7"/>
      <c r="T7"/>
    </row>
    <row r="8" spans="2:20" x14ac:dyDescent="0.3">
      <c r="B8" s="848"/>
      <c r="C8" s="475">
        <v>0.99990000000000001</v>
      </c>
      <c r="D8" s="871"/>
      <c r="F8" s="848"/>
      <c r="G8" s="76">
        <v>0.94989999999999997</v>
      </c>
      <c r="H8" s="127"/>
      <c r="K8" s="850" t="s">
        <v>135</v>
      </c>
      <c r="L8" s="73">
        <v>0.18</v>
      </c>
      <c r="M8" s="73">
        <v>0.03</v>
      </c>
      <c r="N8" s="73">
        <v>0.09</v>
      </c>
      <c r="O8" s="104">
        <f>SUM(L8:N8)</f>
        <v>0.3</v>
      </c>
      <c r="R8"/>
      <c r="S8"/>
      <c r="T8"/>
    </row>
    <row r="9" spans="2:20" x14ac:dyDescent="0.3">
      <c r="B9" s="848"/>
      <c r="C9" s="476">
        <v>1</v>
      </c>
      <c r="D9" s="128">
        <v>1</v>
      </c>
      <c r="F9" s="848"/>
      <c r="G9" s="77">
        <v>0.95</v>
      </c>
      <c r="H9" s="870" t="s">
        <v>12</v>
      </c>
      <c r="K9" s="877"/>
      <c r="L9" s="78">
        <f>(L8*$O$9)/$O$8</f>
        <v>0.6</v>
      </c>
      <c r="M9" s="78">
        <f>(M8*$O$9)/$O$8</f>
        <v>0.1</v>
      </c>
      <c r="N9" s="78">
        <f>(N8*$O$9)/$O$8</f>
        <v>0.3</v>
      </c>
      <c r="O9" s="103">
        <v>1</v>
      </c>
      <c r="R9"/>
      <c r="S9"/>
      <c r="T9"/>
    </row>
    <row r="10" spans="2:20" x14ac:dyDescent="0.3">
      <c r="B10" s="848"/>
      <c r="C10" s="477">
        <v>1.01</v>
      </c>
      <c r="D10" s="878" t="s">
        <v>153</v>
      </c>
      <c r="F10" s="848"/>
      <c r="G10" s="79">
        <v>0.99990000000000001</v>
      </c>
      <c r="H10" s="871"/>
      <c r="K10" s="850" t="s">
        <v>136</v>
      </c>
      <c r="L10" s="73">
        <v>0.18</v>
      </c>
      <c r="M10" s="73">
        <v>0.03</v>
      </c>
      <c r="N10" s="73">
        <v>0.09</v>
      </c>
      <c r="O10" s="104">
        <f>SUM(L10:N10)</f>
        <v>0.3</v>
      </c>
      <c r="R10"/>
      <c r="S10"/>
      <c r="T10"/>
    </row>
    <row r="11" spans="2:20" ht="15" thickBot="1" x14ac:dyDescent="0.35">
      <c r="B11" s="848"/>
      <c r="C11" s="478">
        <v>1.1099000000000001</v>
      </c>
      <c r="D11" s="879"/>
      <c r="F11" s="848"/>
      <c r="G11" s="80">
        <v>1</v>
      </c>
      <c r="H11" s="128">
        <v>1</v>
      </c>
      <c r="K11" s="851"/>
      <c r="L11" s="105">
        <f>(L10*$O$11)/$O$10</f>
        <v>0.6</v>
      </c>
      <c r="M11" s="105">
        <f>(M10*$O$11)/$O$10</f>
        <v>0.1</v>
      </c>
      <c r="N11" s="105">
        <f>(N10*$O$11)/$O$10</f>
        <v>0.3</v>
      </c>
      <c r="O11" s="106">
        <v>1</v>
      </c>
      <c r="R11"/>
      <c r="S11"/>
      <c r="T11"/>
    </row>
    <row r="12" spans="2:20" x14ac:dyDescent="0.3">
      <c r="B12" s="848"/>
      <c r="C12" s="479">
        <v>1.1100000000000001</v>
      </c>
      <c r="D12" s="880" t="s">
        <v>154</v>
      </c>
      <c r="F12" s="848"/>
      <c r="G12" s="81">
        <v>1.01</v>
      </c>
      <c r="H12" s="425" t="s">
        <v>153</v>
      </c>
      <c r="R12"/>
      <c r="S12"/>
      <c r="T12"/>
    </row>
    <row r="13" spans="2:20" x14ac:dyDescent="0.3">
      <c r="B13" s="848"/>
      <c r="C13" s="480">
        <v>1.3</v>
      </c>
      <c r="D13" s="881"/>
      <c r="F13" s="848"/>
      <c r="G13" s="82">
        <v>1.1099000000000001</v>
      </c>
      <c r="H13" s="426"/>
      <c r="R13"/>
      <c r="S13"/>
      <c r="T13"/>
    </row>
    <row r="14" spans="2:20" x14ac:dyDescent="0.3">
      <c r="B14" s="848"/>
      <c r="C14" s="872" t="s">
        <v>156</v>
      </c>
      <c r="D14" s="873"/>
      <c r="F14" s="848"/>
      <c r="G14" s="83">
        <v>1.1100000000000001</v>
      </c>
      <c r="H14" s="427" t="s">
        <v>154</v>
      </c>
    </row>
    <row r="15" spans="2:20" ht="15" thickBot="1" x14ac:dyDescent="0.35">
      <c r="B15" s="849"/>
      <c r="C15" s="874"/>
      <c r="D15" s="875"/>
      <c r="F15" s="848"/>
      <c r="G15" s="84">
        <v>1.3</v>
      </c>
      <c r="H15" s="428"/>
    </row>
    <row r="16" spans="2:20" ht="36" thickBot="1" x14ac:dyDescent="0.35">
      <c r="F16" s="849"/>
      <c r="G16" s="429" t="s">
        <v>156</v>
      </c>
      <c r="H16" s="430"/>
    </row>
    <row r="19" spans="13:13" x14ac:dyDescent="0.3">
      <c r="M19" s="85"/>
    </row>
    <row r="44" spans="2:24" ht="15" thickBot="1" x14ac:dyDescent="0.35"/>
    <row r="45" spans="2:24" ht="15" thickBot="1" x14ac:dyDescent="0.35">
      <c r="C45" s="864" t="s">
        <v>62</v>
      </c>
      <c r="D45" s="865"/>
      <c r="E45" s="866"/>
      <c r="F45" s="460"/>
      <c r="G45" s="460"/>
      <c r="H45" s="460"/>
      <c r="I45" s="460"/>
      <c r="J45" s="460"/>
      <c r="M45" s="855" t="s">
        <v>62</v>
      </c>
      <c r="N45" s="856"/>
      <c r="O45" s="856"/>
      <c r="P45" s="856"/>
      <c r="Q45" s="856"/>
      <c r="R45" s="856"/>
      <c r="S45" s="856"/>
      <c r="T45" s="857"/>
    </row>
    <row r="46" spans="2:24" s="1" customFormat="1" ht="163.80000000000001" x14ac:dyDescent="0.3">
      <c r="B46" s="85"/>
      <c r="C46" s="858" t="s">
        <v>103</v>
      </c>
      <c r="D46" s="859"/>
      <c r="E46" s="86" t="s">
        <v>83</v>
      </c>
      <c r="F46" s="461"/>
      <c r="G46" s="461"/>
      <c r="H46" s="461"/>
      <c r="I46" s="461"/>
      <c r="J46" s="461"/>
      <c r="K46" s="85"/>
      <c r="L46" s="85"/>
      <c r="M46" s="922" t="s">
        <v>71</v>
      </c>
      <c r="N46" s="923"/>
      <c r="O46" s="87" t="s">
        <v>79</v>
      </c>
      <c r="P46" s="8" t="s">
        <v>80</v>
      </c>
      <c r="Q46" s="8" t="s">
        <v>81</v>
      </c>
      <c r="R46" s="8" t="s">
        <v>82</v>
      </c>
      <c r="S46" s="8" t="s">
        <v>4</v>
      </c>
      <c r="T46" s="8" t="s">
        <v>83</v>
      </c>
      <c r="U46" s="9"/>
      <c r="V46" s="10" t="s">
        <v>15</v>
      </c>
      <c r="W46" s="13"/>
      <c r="X46" s="13"/>
    </row>
    <row r="47" spans="2:24" x14ac:dyDescent="0.3">
      <c r="C47" s="860"/>
      <c r="D47" s="861"/>
      <c r="E47" s="88">
        <v>7.4999999999999997E-2</v>
      </c>
      <c r="F47" s="462"/>
      <c r="G47" s="462"/>
      <c r="H47" s="462"/>
      <c r="I47" s="462"/>
      <c r="J47" s="462"/>
      <c r="M47" s="924"/>
      <c r="N47" s="925"/>
      <c r="O47" s="89">
        <f t="shared" ref="O47:T47" si="0">O48*$V$52</f>
        <v>4.0500000000000001E-2</v>
      </c>
      <c r="P47" s="22">
        <f t="shared" si="0"/>
        <v>0.06</v>
      </c>
      <c r="Q47" s="23">
        <f t="shared" si="0"/>
        <v>4.0500000000000001E-2</v>
      </c>
      <c r="R47" s="22">
        <f t="shared" si="0"/>
        <v>0.06</v>
      </c>
      <c r="S47" s="22">
        <f t="shared" si="0"/>
        <v>0.06</v>
      </c>
      <c r="T47" s="22">
        <f t="shared" si="0"/>
        <v>3.9E-2</v>
      </c>
      <c r="U47" s="6"/>
      <c r="V47" s="16">
        <v>0.3</v>
      </c>
      <c r="W47" s="14"/>
      <c r="X47" s="14"/>
    </row>
    <row r="48" spans="2:24" ht="15" thickBot="1" x14ac:dyDescent="0.35">
      <c r="C48" s="862"/>
      <c r="D48" s="863"/>
      <c r="E48" s="90">
        <v>0.25</v>
      </c>
      <c r="F48" s="463"/>
      <c r="G48" s="463"/>
      <c r="H48" s="463"/>
      <c r="I48" s="463"/>
      <c r="J48" s="463"/>
      <c r="M48" s="926"/>
      <c r="N48" s="927"/>
      <c r="O48" s="91">
        <v>0.13500000000000001</v>
      </c>
      <c r="P48" s="17">
        <v>0.2</v>
      </c>
      <c r="Q48" s="17">
        <v>0.13500000000000001</v>
      </c>
      <c r="R48" s="17">
        <v>0.2</v>
      </c>
      <c r="S48" s="17">
        <v>0.2</v>
      </c>
      <c r="T48" s="17">
        <v>0.13</v>
      </c>
      <c r="U48" s="7"/>
      <c r="V48" s="16">
        <f>SUM(O48:T48)</f>
        <v>1</v>
      </c>
      <c r="W48" s="15"/>
      <c r="X48" s="15"/>
    </row>
    <row r="49" spans="2:32" ht="15" thickBot="1" x14ac:dyDescent="0.35">
      <c r="C49" s="92"/>
      <c r="D49" s="123"/>
      <c r="E49" s="94"/>
      <c r="F49" s="463"/>
      <c r="G49" s="463"/>
      <c r="H49" s="463"/>
      <c r="I49" s="463"/>
      <c r="J49" s="463"/>
      <c r="M49" s="92"/>
      <c r="N49" s="93"/>
      <c r="O49" s="95"/>
      <c r="P49" s="11"/>
      <c r="Q49" s="11"/>
      <c r="R49" s="11"/>
      <c r="S49" s="12"/>
      <c r="T49" s="12"/>
      <c r="Y49" t="s">
        <v>84</v>
      </c>
    </row>
    <row r="50" spans="2:32" ht="15" thickBot="1" x14ac:dyDescent="0.35">
      <c r="C50" s="864" t="s">
        <v>62</v>
      </c>
      <c r="D50" s="865"/>
      <c r="E50" s="866"/>
      <c r="F50" s="460"/>
      <c r="G50" s="460"/>
      <c r="H50" s="460"/>
      <c r="I50" s="460"/>
      <c r="J50" s="460"/>
      <c r="M50" s="855" t="s">
        <v>62</v>
      </c>
      <c r="N50" s="856"/>
      <c r="O50" s="856"/>
      <c r="P50" s="856"/>
      <c r="Q50" s="856"/>
      <c r="R50" s="856"/>
      <c r="S50" s="856"/>
      <c r="T50" s="857"/>
    </row>
    <row r="51" spans="2:32" s="1" customFormat="1" ht="43.2" x14ac:dyDescent="0.3">
      <c r="B51" s="85"/>
      <c r="C51" s="858" t="s">
        <v>71</v>
      </c>
      <c r="D51" s="859"/>
      <c r="E51" s="85"/>
      <c r="F51" s="85"/>
      <c r="G51" s="85"/>
      <c r="H51" s="85"/>
      <c r="I51" s="85"/>
      <c r="J51" s="85"/>
      <c r="K51" s="85"/>
      <c r="L51" s="85"/>
      <c r="M51" s="922" t="s">
        <v>71</v>
      </c>
      <c r="N51" s="923"/>
      <c r="O51" s="87" t="s">
        <v>79</v>
      </c>
      <c r="P51" s="8" t="s">
        <v>80</v>
      </c>
      <c r="Q51" s="8" t="s">
        <v>81</v>
      </c>
      <c r="R51" s="8" t="s">
        <v>82</v>
      </c>
      <c r="S51" s="8" t="s">
        <v>4</v>
      </c>
      <c r="T51" s="8" t="s">
        <v>83</v>
      </c>
      <c r="U51" s="9"/>
      <c r="V51" s="10" t="s">
        <v>15</v>
      </c>
      <c r="W51" s="13"/>
      <c r="X51" s="13"/>
    </row>
    <row r="52" spans="2:32" x14ac:dyDescent="0.3">
      <c r="C52" s="860"/>
      <c r="D52" s="861"/>
      <c r="M52" s="924"/>
      <c r="N52" s="925"/>
      <c r="O52" s="89">
        <f t="shared" ref="O52:T52" si="1">O53*$V$52</f>
        <v>4.0500000000000001E-2</v>
      </c>
      <c r="P52" s="22">
        <f t="shared" si="1"/>
        <v>0.06</v>
      </c>
      <c r="Q52" s="23">
        <f t="shared" si="1"/>
        <v>4.0500000000000001E-2</v>
      </c>
      <c r="R52" s="22">
        <f t="shared" si="1"/>
        <v>0.06</v>
      </c>
      <c r="S52" s="22">
        <f t="shared" si="1"/>
        <v>0.06</v>
      </c>
      <c r="T52" s="22">
        <f t="shared" si="1"/>
        <v>3.9E-2</v>
      </c>
      <c r="U52" s="6"/>
      <c r="V52" s="16">
        <v>0.3</v>
      </c>
      <c r="W52" s="14"/>
      <c r="X52" s="14"/>
    </row>
    <row r="53" spans="2:32" ht="15" thickBot="1" x14ac:dyDescent="0.35">
      <c r="C53" s="862"/>
      <c r="D53" s="863"/>
      <c r="M53" s="926"/>
      <c r="N53" s="927"/>
      <c r="O53" s="91">
        <v>0.13500000000000001</v>
      </c>
      <c r="P53" s="17">
        <v>0.2</v>
      </c>
      <c r="Q53" s="17">
        <v>0.13500000000000001</v>
      </c>
      <c r="R53" s="17">
        <v>0.2</v>
      </c>
      <c r="S53" s="17">
        <v>0.2</v>
      </c>
      <c r="T53" s="17">
        <v>0.13</v>
      </c>
      <c r="U53" s="7"/>
      <c r="V53" s="16">
        <f>SUM(O53:T53)</f>
        <v>1</v>
      </c>
      <c r="W53" s="15"/>
      <c r="X53" s="15"/>
    </row>
    <row r="54" spans="2:32" ht="15" thickBot="1" x14ac:dyDescent="0.35">
      <c r="C54" s="92"/>
      <c r="D54" s="123"/>
      <c r="M54" s="92"/>
      <c r="N54" s="93"/>
      <c r="O54" s="95"/>
      <c r="P54" s="11"/>
      <c r="Q54" s="11"/>
      <c r="R54" s="11"/>
      <c r="S54" s="12"/>
      <c r="T54" s="12"/>
      <c r="Y54" t="s">
        <v>84</v>
      </c>
    </row>
    <row r="55" spans="2:32" ht="45" customHeight="1" x14ac:dyDescent="0.3">
      <c r="C55" s="858" t="s">
        <v>72</v>
      </c>
      <c r="D55" s="859"/>
      <c r="E55" s="96" t="s">
        <v>21</v>
      </c>
      <c r="F55" s="461"/>
      <c r="G55" s="461"/>
      <c r="H55" s="461"/>
      <c r="I55" s="461"/>
      <c r="J55" s="461"/>
      <c r="M55" s="922" t="s">
        <v>85</v>
      </c>
      <c r="N55" s="923"/>
      <c r="O55" s="97" t="s">
        <v>79</v>
      </c>
      <c r="P55" s="24" t="s">
        <v>80</v>
      </c>
      <c r="Q55" s="24" t="s">
        <v>81</v>
      </c>
      <c r="R55" s="24" t="s">
        <v>82</v>
      </c>
      <c r="S55" s="24" t="s">
        <v>4</v>
      </c>
      <c r="T55" s="24" t="s">
        <v>21</v>
      </c>
      <c r="U55" s="24"/>
      <c r="V55" s="25" t="s">
        <v>15</v>
      </c>
      <c r="W55" s="916" t="s">
        <v>86</v>
      </c>
      <c r="X55" s="917"/>
      <c r="Y55" s="8" t="s">
        <v>79</v>
      </c>
      <c r="Z55" s="8" t="s">
        <v>80</v>
      </c>
      <c r="AA55" s="8" t="s">
        <v>81</v>
      </c>
      <c r="AB55" s="8" t="s">
        <v>82</v>
      </c>
      <c r="AC55" s="8" t="s">
        <v>4</v>
      </c>
      <c r="AD55" s="8" t="s">
        <v>15</v>
      </c>
      <c r="AE55" s="9"/>
      <c r="AF55" s="10"/>
    </row>
    <row r="56" spans="2:32" x14ac:dyDescent="0.3">
      <c r="C56" s="860"/>
      <c r="D56" s="861"/>
      <c r="E56" s="88">
        <v>0.05</v>
      </c>
      <c r="F56" s="462"/>
      <c r="G56" s="462"/>
      <c r="H56" s="462"/>
      <c r="I56" s="462"/>
      <c r="J56" s="462"/>
      <c r="M56" s="924"/>
      <c r="N56" s="925"/>
      <c r="O56" s="89">
        <f t="shared" ref="O56:T56" si="2">O57*$V$56</f>
        <v>4.0500000000000001E-2</v>
      </c>
      <c r="P56" s="22">
        <f t="shared" si="2"/>
        <v>0.06</v>
      </c>
      <c r="Q56" s="23">
        <f t="shared" si="2"/>
        <v>4.0500000000000001E-2</v>
      </c>
      <c r="R56" s="22">
        <f t="shared" si="2"/>
        <v>0.06</v>
      </c>
      <c r="S56" s="22">
        <f t="shared" si="2"/>
        <v>0.06</v>
      </c>
      <c r="T56" s="22">
        <f t="shared" si="2"/>
        <v>3.9E-2</v>
      </c>
      <c r="U56" s="15"/>
      <c r="V56" s="26">
        <v>0.3</v>
      </c>
      <c r="W56" s="918"/>
      <c r="X56" s="919"/>
      <c r="Y56" s="22">
        <f>Y57*$AD$56</f>
        <v>5.1000000000000004E-2</v>
      </c>
      <c r="Z56" s="2">
        <f>Z57*$AD$56</f>
        <v>6.9000000000000006E-2</v>
      </c>
      <c r="AA56" s="2">
        <f>AA57*$AD$56</f>
        <v>5.1000000000000004E-2</v>
      </c>
      <c r="AB56" s="2">
        <f>AB57*$AD$56</f>
        <v>6.9000000000000006E-2</v>
      </c>
      <c r="AC56" s="3">
        <f>AC57*$AD$56</f>
        <v>0.06</v>
      </c>
      <c r="AD56" s="16">
        <v>0.3</v>
      </c>
    </row>
    <row r="57" spans="2:32" x14ac:dyDescent="0.3">
      <c r="C57" s="862"/>
      <c r="D57" s="863"/>
      <c r="E57" s="90">
        <f>E56/SUM($E$56:$E$56)</f>
        <v>1</v>
      </c>
      <c r="F57" s="463"/>
      <c r="G57" s="463"/>
      <c r="H57" s="463"/>
      <c r="I57" s="463"/>
      <c r="J57" s="463"/>
      <c r="M57" s="926"/>
      <c r="N57" s="927"/>
      <c r="O57" s="98">
        <v>0.13500000000000001</v>
      </c>
      <c r="P57" s="18">
        <v>0.2</v>
      </c>
      <c r="Q57" s="18">
        <v>0.13500000000000001</v>
      </c>
      <c r="R57" s="18">
        <v>0.2</v>
      </c>
      <c r="S57" s="19">
        <v>0.2</v>
      </c>
      <c r="T57" s="19">
        <v>0.13</v>
      </c>
      <c r="U57" s="27"/>
      <c r="V57" s="26">
        <f>SUM(O57:T57)</f>
        <v>1</v>
      </c>
      <c r="W57" s="920"/>
      <c r="X57" s="921"/>
      <c r="Y57" s="20">
        <v>0.17</v>
      </c>
      <c r="Z57" s="20">
        <v>0.23</v>
      </c>
      <c r="AA57" s="20">
        <v>0.17</v>
      </c>
      <c r="AB57" s="20">
        <v>0.23</v>
      </c>
      <c r="AC57" s="21">
        <v>0.2</v>
      </c>
      <c r="AD57" s="16">
        <f>SUM(Y57:AC57)</f>
        <v>1</v>
      </c>
    </row>
    <row r="58" spans="2:32" ht="23.25" customHeight="1" x14ac:dyDescent="0.3">
      <c r="C58" s="852" t="s">
        <v>14</v>
      </c>
      <c r="D58" s="853"/>
      <c r="E58" s="854"/>
      <c r="F58" s="464"/>
      <c r="G58" s="464"/>
      <c r="H58" s="464"/>
      <c r="I58" s="464"/>
      <c r="J58" s="464"/>
      <c r="M58" s="867" t="s">
        <v>14</v>
      </c>
      <c r="N58" s="868"/>
      <c r="O58" s="868"/>
      <c r="P58" s="868"/>
      <c r="Q58" s="868"/>
      <c r="R58" s="868"/>
      <c r="S58" s="868"/>
      <c r="T58" s="869"/>
    </row>
    <row r="59" spans="2:32" ht="15" customHeight="1" x14ac:dyDescent="0.3">
      <c r="M59" s="882" t="s">
        <v>13</v>
      </c>
      <c r="N59" s="99" t="s">
        <v>11</v>
      </c>
      <c r="O59" s="883">
        <v>0</v>
      </c>
      <c r="P59" s="883"/>
      <c r="Q59" s="883"/>
      <c r="R59" s="883"/>
      <c r="S59" s="884"/>
      <c r="T59" s="885"/>
    </row>
    <row r="60" spans="2:32" x14ac:dyDescent="0.3">
      <c r="M60" s="848"/>
      <c r="N60" s="74">
        <v>0.8</v>
      </c>
      <c r="O60" s="886">
        <v>0.7</v>
      </c>
      <c r="P60" s="886"/>
      <c r="Q60" s="886"/>
      <c r="R60" s="886"/>
      <c r="S60" s="887"/>
      <c r="T60" s="888"/>
    </row>
    <row r="61" spans="2:32" ht="15" customHeight="1" x14ac:dyDescent="0.3">
      <c r="M61" s="848"/>
      <c r="N61" s="76">
        <v>0.84989999999999999</v>
      </c>
      <c r="O61" s="889"/>
      <c r="P61" s="889"/>
      <c r="Q61" s="889"/>
      <c r="R61" s="889"/>
      <c r="S61" s="890"/>
      <c r="T61" s="891"/>
    </row>
    <row r="62" spans="2:32" x14ac:dyDescent="0.3">
      <c r="M62" s="848"/>
      <c r="N62" s="77">
        <v>0.85</v>
      </c>
      <c r="O62" s="892">
        <v>0.8</v>
      </c>
      <c r="P62" s="892"/>
      <c r="Q62" s="892"/>
      <c r="R62" s="892"/>
      <c r="S62" s="893"/>
      <c r="T62" s="894"/>
    </row>
    <row r="63" spans="2:32" x14ac:dyDescent="0.3">
      <c r="M63" s="848"/>
      <c r="N63" s="79">
        <v>0.90990000000000004</v>
      </c>
      <c r="O63" s="895"/>
      <c r="P63" s="895"/>
      <c r="Q63" s="895"/>
      <c r="R63" s="895"/>
      <c r="S63" s="896"/>
      <c r="T63" s="897"/>
    </row>
    <row r="64" spans="2:32" x14ac:dyDescent="0.3">
      <c r="M64" s="848"/>
      <c r="N64" s="80">
        <v>1.0099</v>
      </c>
      <c r="O64" s="898"/>
      <c r="P64" s="898"/>
      <c r="Q64" s="898"/>
      <c r="R64" s="898"/>
      <c r="S64" s="899"/>
      <c r="T64" s="900"/>
    </row>
    <row r="65" spans="13:20" x14ac:dyDescent="0.3">
      <c r="M65" s="848"/>
      <c r="N65" s="81">
        <v>1.01</v>
      </c>
      <c r="O65" s="901">
        <v>1.1000000000000001</v>
      </c>
      <c r="P65" s="901"/>
      <c r="Q65" s="901"/>
      <c r="R65" s="901"/>
      <c r="S65" s="902"/>
      <c r="T65" s="903"/>
    </row>
    <row r="66" spans="13:20" x14ac:dyDescent="0.3">
      <c r="M66" s="848"/>
      <c r="N66" s="82">
        <v>1.0599000000000001</v>
      </c>
      <c r="O66" s="904"/>
      <c r="P66" s="904"/>
      <c r="Q66" s="904"/>
      <c r="R66" s="904"/>
      <c r="S66" s="905"/>
      <c r="T66" s="906"/>
    </row>
    <row r="67" spans="13:20" x14ac:dyDescent="0.3">
      <c r="M67" s="848"/>
      <c r="N67" s="83">
        <v>1.06</v>
      </c>
      <c r="O67" s="907">
        <v>1.1499999999999999</v>
      </c>
      <c r="P67" s="907"/>
      <c r="Q67" s="907"/>
      <c r="R67" s="907"/>
      <c r="S67" s="908"/>
      <c r="T67" s="909"/>
    </row>
    <row r="68" spans="13:20" x14ac:dyDescent="0.3">
      <c r="M68" s="848"/>
      <c r="N68" s="84">
        <v>1.1099000000000001</v>
      </c>
      <c r="O68" s="910"/>
      <c r="P68" s="910"/>
      <c r="Q68" s="910"/>
      <c r="R68" s="910"/>
      <c r="S68" s="911"/>
      <c r="T68" s="912"/>
    </row>
    <row r="69" spans="13:20" x14ac:dyDescent="0.3">
      <c r="M69" s="848"/>
      <c r="N69" s="100">
        <v>1.1100000000000001</v>
      </c>
      <c r="O69" s="913">
        <v>1.2</v>
      </c>
      <c r="P69" s="913"/>
      <c r="Q69" s="913"/>
      <c r="R69" s="913"/>
      <c r="S69" s="914"/>
      <c r="T69" s="915"/>
    </row>
  </sheetData>
  <mergeCells count="32">
    <mergeCell ref="W55:X57"/>
    <mergeCell ref="M51:N53"/>
    <mergeCell ref="M55:N57"/>
    <mergeCell ref="C45:E45"/>
    <mergeCell ref="M45:T45"/>
    <mergeCell ref="C46:D48"/>
    <mergeCell ref="M46:N48"/>
    <mergeCell ref="C55:D57"/>
    <mergeCell ref="M59:M69"/>
    <mergeCell ref="O59:T59"/>
    <mergeCell ref="O60:T61"/>
    <mergeCell ref="O62:T63"/>
    <mergeCell ref="O64:T64"/>
    <mergeCell ref="O65:T66"/>
    <mergeCell ref="O67:T68"/>
    <mergeCell ref="O69:T69"/>
    <mergeCell ref="B4:B15"/>
    <mergeCell ref="K10:K11"/>
    <mergeCell ref="C58:E58"/>
    <mergeCell ref="M50:T50"/>
    <mergeCell ref="C51:D53"/>
    <mergeCell ref="C50:E50"/>
    <mergeCell ref="M58:T58"/>
    <mergeCell ref="F4:F16"/>
    <mergeCell ref="H9:H10"/>
    <mergeCell ref="C14:D15"/>
    <mergeCell ref="K4:K5"/>
    <mergeCell ref="K6:K7"/>
    <mergeCell ref="D7:D8"/>
    <mergeCell ref="D10:D11"/>
    <mergeCell ref="D12:D13"/>
    <mergeCell ref="K8:K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EF95-A908-45FB-BBD5-8B08079990A4}">
  <sheetPr codeName="Hoja15">
    <tabColor rgb="FF92D050"/>
  </sheetPr>
  <dimension ref="A2:R31"/>
  <sheetViews>
    <sheetView showGridLines="0" tabSelected="1" topLeftCell="B1" zoomScale="80" zoomScaleNormal="80" workbookViewId="0">
      <selection activeCell="D34" sqref="D34"/>
    </sheetView>
  </sheetViews>
  <sheetFormatPr baseColWidth="10" defaultColWidth="11.44140625" defaultRowHeight="13.8" x14ac:dyDescent="0.25"/>
  <cols>
    <col min="1" max="1" width="10.88671875" style="150" hidden="1" customWidth="1"/>
    <col min="2" max="2" width="3" style="150" customWidth="1"/>
    <col min="3" max="3" width="10.88671875" style="150" customWidth="1"/>
    <col min="4" max="4" width="39.44140625" style="150" customWidth="1"/>
    <col min="5" max="5" width="16.5546875" style="150" customWidth="1"/>
    <col min="6" max="6" width="12" style="152" bestFit="1" customWidth="1"/>
    <col min="7" max="7" width="23.77734375" style="151" customWidth="1"/>
    <col min="8" max="8" width="13.21875" style="152" customWidth="1"/>
    <col min="9" max="9" width="14.33203125" style="152" customWidth="1"/>
    <col min="10" max="10" width="14" style="152" customWidth="1"/>
    <col min="11" max="11" width="14.109375" style="152" customWidth="1"/>
    <col min="12" max="12" width="14.88671875" style="151" customWidth="1"/>
    <col min="13" max="13" width="74.5546875" style="150" customWidth="1"/>
    <col min="14" max="15" width="11.44140625" style="150"/>
    <col min="16" max="16" width="8.44140625" style="150" customWidth="1"/>
    <col min="17" max="17" width="11.44140625" style="150" customWidth="1"/>
    <col min="18" max="18" width="19.6640625" style="150" customWidth="1"/>
    <col min="19" max="19" width="11.44140625" style="150" customWidth="1"/>
    <col min="20" max="16384" width="11.44140625" style="150"/>
  </cols>
  <sheetData>
    <row r="2" spans="1:18" ht="17.399999999999999" x14ac:dyDescent="0.3">
      <c r="C2" s="928" t="s">
        <v>638</v>
      </c>
      <c r="D2" s="928"/>
      <c r="E2" s="928"/>
      <c r="F2" s="928"/>
      <c r="G2" s="928"/>
      <c r="H2" s="928"/>
      <c r="I2" s="928"/>
      <c r="J2" s="928"/>
      <c r="K2" s="928"/>
      <c r="L2" s="928"/>
      <c r="M2" s="928"/>
    </row>
    <row r="4" spans="1:18" s="675" customFormat="1" ht="41.4" x14ac:dyDescent="0.3">
      <c r="C4" s="676" t="s">
        <v>182</v>
      </c>
      <c r="D4" s="677" t="s">
        <v>2</v>
      </c>
      <c r="E4" s="676" t="s">
        <v>9</v>
      </c>
      <c r="F4" s="677" t="s">
        <v>161</v>
      </c>
      <c r="G4" s="678" t="s">
        <v>307</v>
      </c>
      <c r="H4" s="676" t="s">
        <v>310</v>
      </c>
      <c r="I4" s="677" t="s">
        <v>309</v>
      </c>
      <c r="J4" s="677" t="s">
        <v>311</v>
      </c>
      <c r="K4" s="677" t="s">
        <v>312</v>
      </c>
      <c r="L4" s="692" t="s">
        <v>317</v>
      </c>
      <c r="M4" s="676" t="s">
        <v>172</v>
      </c>
      <c r="P4" s="679"/>
      <c r="Q4" s="680"/>
      <c r="R4" s="681"/>
    </row>
    <row r="5" spans="1:18" x14ac:dyDescent="0.25">
      <c r="A5" s="150" t="str">
        <f>TRIM(C5)</f>
        <v>1302</v>
      </c>
      <c r="C5" s="191" t="s">
        <v>41</v>
      </c>
      <c r="D5" s="191" t="str">
        <f>VLOOKUP(C5,'TABLA DE LIQUIDACION RV'!$B$4:$H$36,7,0)</f>
        <v>CARDOZO VILLAMIL INGRID MARYOLI</v>
      </c>
      <c r="E5" s="193">
        <f>VLOOKUP(C5,'TABLA DE LIQUIDACION RV'!$E$5:$I$25,5,0)</f>
        <v>52748692</v>
      </c>
      <c r="F5" s="592" t="s">
        <v>171</v>
      </c>
      <c r="G5" s="671" t="str">
        <f>VLOOKUP(A5,'TABLA DE LIQUIDACION RV'!$B$5:$G$27,6,0)</f>
        <v>CONSUMO</v>
      </c>
      <c r="H5" s="684">
        <f>'TABLA DE LIQUIDACION RV'!AC5</f>
        <v>49387.020397</v>
      </c>
      <c r="I5" s="682">
        <f>'TABLA DE LIQUIDACION RV'!AD5</f>
        <v>495622.74001648574</v>
      </c>
      <c r="J5" s="682">
        <f>'TABLA DE LIQUIDACION RV'!AE5</f>
        <v>248358.5612675641</v>
      </c>
      <c r="K5" s="682">
        <v>0</v>
      </c>
      <c r="L5" s="693">
        <f>VLOOKUP(A5,'TABLA DE LIQUIDACION RV'!$B$4:$AG$27,32,0)</f>
        <v>793368.32168104977</v>
      </c>
      <c r="M5" s="191"/>
      <c r="P5" s="188"/>
      <c r="Q5" s="189"/>
      <c r="R5" s="190"/>
    </row>
    <row r="6" spans="1:18" x14ac:dyDescent="0.25">
      <c r="A6" s="150" t="str">
        <f t="shared" ref="A6:A21" si="0">TRIM(C6)</f>
        <v>1306</v>
      </c>
      <c r="C6" s="191" t="s">
        <v>45</v>
      </c>
      <c r="D6" s="191" t="str">
        <f>VLOOKUP(C6,'TABLA DE LIQUIDACION RV'!$B$4:$H$36,7,0)</f>
        <v xml:space="preserve">LOPEZ OSPINA LILIANA </v>
      </c>
      <c r="E6" s="193">
        <f>VLOOKUP(C6,'TABLA DE LIQUIDACION RV'!$E$5:$I$25,5,0)</f>
        <v>1023863745</v>
      </c>
      <c r="F6" s="592" t="s">
        <v>171</v>
      </c>
      <c r="G6" s="671" t="str">
        <f>VLOOKUP(A6,'TABLA DE LIQUIDACION RV'!$B$5:$G$27,6,0)</f>
        <v>CONSUMO</v>
      </c>
      <c r="H6" s="685">
        <f>'TABLA DE LIQUIDACION RV'!AC6</f>
        <v>49387.020397</v>
      </c>
      <c r="I6" s="674">
        <f>'TABLA DE LIQUIDACION RV'!AD6</f>
        <v>588892.45072795753</v>
      </c>
      <c r="J6" s="674">
        <f>'TABLA DE LIQUIDACION RV'!AE6</f>
        <v>0</v>
      </c>
      <c r="K6" s="682">
        <v>0</v>
      </c>
      <c r="L6" s="693">
        <f>VLOOKUP(A6,'TABLA DE LIQUIDACION RV'!$B$4:$AG$27,32,0)</f>
        <v>638279.47112495755</v>
      </c>
      <c r="M6" s="191"/>
      <c r="P6" s="188"/>
      <c r="Q6" s="189"/>
      <c r="R6" s="190"/>
    </row>
    <row r="7" spans="1:18" x14ac:dyDescent="0.25">
      <c r="A7" s="150" t="str">
        <f t="shared" si="0"/>
        <v>1401</v>
      </c>
      <c r="C7" s="191" t="s">
        <v>34</v>
      </c>
      <c r="D7" s="191" t="str">
        <f>VLOOKUP(C7,'TABLA DE LIQUIDACION RV'!$B$4:$H$36,7,0)</f>
        <v>BARRAGAN RAMIREZ GLORIA ASTRID</v>
      </c>
      <c r="E7" s="193">
        <f>VLOOKUP(C7,'TABLA DE LIQUIDACION RV'!$E$5:$I$25,5,0)</f>
        <v>52019354</v>
      </c>
      <c r="F7" s="592" t="s">
        <v>171</v>
      </c>
      <c r="G7" s="671" t="str">
        <f>VLOOKUP(A7,'TABLA DE LIQUIDACION RV'!$B$5:$G$27,6,0)</f>
        <v>CONSUMO</v>
      </c>
      <c r="H7" s="685">
        <f>'TABLA DE LIQUIDACION RV'!AC9</f>
        <v>76950.205200000011</v>
      </c>
      <c r="I7" s="674">
        <f>'TABLA DE LIQUIDACION RV'!AD9</f>
        <v>733677.5118850146</v>
      </c>
      <c r="J7" s="674">
        <f>'TABLA DE LIQUIDACION RV'!AE9</f>
        <v>461701.23119999998</v>
      </c>
      <c r="K7" s="682">
        <v>0</v>
      </c>
      <c r="L7" s="693">
        <f>VLOOKUP(A7,'TABLA DE LIQUIDACION RV'!$B$4:$AG$27,32,0)</f>
        <v>1272328.9482850146</v>
      </c>
      <c r="M7" s="191"/>
    </row>
    <row r="8" spans="1:18" x14ac:dyDescent="0.25">
      <c r="A8" s="150" t="str">
        <f t="shared" si="0"/>
        <v>2101</v>
      </c>
      <c r="C8" s="191" t="s">
        <v>26</v>
      </c>
      <c r="D8" s="191" t="str">
        <f>VLOOKUP(C8,'TABLA DE LIQUIDACION RV'!$B$4:$H$36,7,0)</f>
        <v>TANGARIFE BAUTISTA NATALI</v>
      </c>
      <c r="E8" s="193">
        <f>VLOOKUP(C8,'TABLA DE LIQUIDACION RV'!$E$5:$I$25,5,0)</f>
        <v>1070956306</v>
      </c>
      <c r="F8" s="592" t="s">
        <v>171</v>
      </c>
      <c r="G8" s="671" t="str">
        <f>VLOOKUP(A8,'TABLA DE LIQUIDACION RV'!$B$5:$G$27,6,0)</f>
        <v>PANADERIA</v>
      </c>
      <c r="H8" s="685">
        <f>'TABLA DE LIQUIDACION RV'!AC10</f>
        <v>0</v>
      </c>
      <c r="I8" s="674">
        <f>'TABLA DE LIQUIDACION RV'!AD10</f>
        <v>615271.21605088259</v>
      </c>
      <c r="J8" s="674">
        <f>'TABLA DE LIQUIDACION RV'!AE10</f>
        <v>287850</v>
      </c>
      <c r="K8" s="682">
        <v>0</v>
      </c>
      <c r="L8" s="693">
        <f>VLOOKUP(A8,'TABLA DE LIQUIDACION RV'!$B$4:$AG$27,32,0)</f>
        <v>903121.21605088259</v>
      </c>
      <c r="M8" s="191"/>
    </row>
    <row r="9" spans="1:18" x14ac:dyDescent="0.25">
      <c r="A9" s="150" t="str">
        <f t="shared" si="0"/>
        <v>2104</v>
      </c>
      <c r="C9" s="191" t="s">
        <v>30</v>
      </c>
      <c r="D9" s="191" t="str">
        <f>VLOOKUP(C9,'TABLA DE LIQUIDACION RV'!$B$4:$H$36,7,0)</f>
        <v>OCHOA TELLEZ YILFER ERNESTO</v>
      </c>
      <c r="E9" s="193">
        <f>VLOOKUP(C9,'TABLA DE LIQUIDACION RV'!$E$5:$I$25,5,0)</f>
        <v>80768198</v>
      </c>
      <c r="F9" s="592" t="s">
        <v>171</v>
      </c>
      <c r="G9" s="671" t="str">
        <f>VLOOKUP(A9,'TABLA DE LIQUIDACION RV'!$B$5:$G$27,6,0)</f>
        <v>PANADERIA</v>
      </c>
      <c r="H9" s="685">
        <f>'TABLA DE LIQUIDACION RV'!AC12</f>
        <v>0</v>
      </c>
      <c r="I9" s="674">
        <f>'TABLA DE LIQUIDACION RV'!AD12</f>
        <v>0</v>
      </c>
      <c r="J9" s="674">
        <f>'TABLA DE LIQUIDACION RV'!AE12</f>
        <v>287850</v>
      </c>
      <c r="K9" s="682">
        <v>0</v>
      </c>
      <c r="L9" s="693">
        <f>VLOOKUP(A9,'TABLA DE LIQUIDACION RV'!$B$4:$AG$27,32,0)</f>
        <v>287850</v>
      </c>
      <c r="M9" s="191"/>
    </row>
    <row r="10" spans="1:18" x14ac:dyDescent="0.25">
      <c r="A10" s="150" t="str">
        <f t="shared" si="0"/>
        <v>2102</v>
      </c>
      <c r="C10" s="191" t="s">
        <v>27</v>
      </c>
      <c r="D10" s="191" t="str">
        <f>VLOOKUP(C10,'TABLA DE LIQUIDACION RV'!$B$4:$H$36,7,0)</f>
        <v>LOPEZ LOPEZ MARTHA SIRLEY</v>
      </c>
      <c r="E10" s="193">
        <f>VLOOKUP(C10,'TABLA DE LIQUIDACION RV'!$E$5:$I$25,5,0)</f>
        <v>1033717712</v>
      </c>
      <c r="F10" s="592" t="s">
        <v>171</v>
      </c>
      <c r="G10" s="671" t="str">
        <f>VLOOKUP(A10,'TABLA DE LIQUIDACION RV'!$B$5:$G$27,6,0)</f>
        <v>PANADERIA</v>
      </c>
      <c r="H10" s="685">
        <f>'TABLA DE LIQUIDACION RV'!AC13</f>
        <v>0</v>
      </c>
      <c r="I10" s="674">
        <f>'TABLA DE LIQUIDACION RV'!AD13</f>
        <v>948026.52806399984</v>
      </c>
      <c r="J10" s="674">
        <f>'TABLA DE LIQUIDACION RV'!AE13</f>
        <v>406297.08345599991</v>
      </c>
      <c r="K10" s="682">
        <v>0</v>
      </c>
      <c r="L10" s="693">
        <f>VLOOKUP(A10,'TABLA DE LIQUIDACION RV'!$B$4:$AG$27,32,0)</f>
        <v>1354323.6115199998</v>
      </c>
      <c r="M10" s="191"/>
    </row>
    <row r="11" spans="1:18" ht="15" customHeight="1" x14ac:dyDescent="0.25">
      <c r="A11" s="150" t="str">
        <f t="shared" si="0"/>
        <v>1501</v>
      </c>
      <c r="C11" s="191" t="s">
        <v>32</v>
      </c>
      <c r="D11" s="191" t="str">
        <f>VLOOKUP(C11,'TABLA DE LIQUIDACION RV'!$B$4:$H$36,7,0)</f>
        <v>ALVARADO GUERRERO  DORIS</v>
      </c>
      <c r="E11" s="193">
        <f>VLOOKUP(C11,'TABLA DE LIQUIDACION RV'!$E$5:$I$25,5,0)</f>
        <v>39536782</v>
      </c>
      <c r="F11" s="592" t="s">
        <v>171</v>
      </c>
      <c r="G11" s="671" t="str">
        <f>VLOOKUP(A11,'TABLA DE LIQUIDACION RV'!$B$5:$G$27,6,0)</f>
        <v>CONSUMO</v>
      </c>
      <c r="H11" s="685">
        <f>'TABLA DE LIQUIDACION RV'!AC15</f>
        <v>33537.469570000001</v>
      </c>
      <c r="I11" s="674">
        <f>'TABLA DE LIQUIDACION RV'!AD15</f>
        <v>495854.41639340087</v>
      </c>
      <c r="J11" s="674">
        <f>'TABLA DE LIQUIDACION RV'!AE15</f>
        <v>0</v>
      </c>
      <c r="K11" s="682">
        <v>0</v>
      </c>
      <c r="L11" s="693">
        <f>VLOOKUP(A11,'TABLA DE LIQUIDACION RV'!$B$4:$AG$27,32,0)</f>
        <v>529391.88596340083</v>
      </c>
      <c r="M11" s="191"/>
    </row>
    <row r="12" spans="1:18" ht="15" customHeight="1" x14ac:dyDescent="0.25">
      <c r="A12" s="150" t="str">
        <f t="shared" si="0"/>
        <v>1202</v>
      </c>
      <c r="C12" s="191" t="s">
        <v>54</v>
      </c>
      <c r="D12" s="191" t="str">
        <f>VLOOKUP(C12,'TABLA DE LIQUIDACION RV'!$B$4:$H$36,7,0)</f>
        <v>QUICENO BARRERA YURLEY ROCIO</v>
      </c>
      <c r="E12" s="193">
        <f>VLOOKUP(C12,'TABLA DE LIQUIDACION RV'!$E$5:$I$25,5,0)</f>
        <v>1098712340</v>
      </c>
      <c r="F12" s="592" t="s">
        <v>171</v>
      </c>
      <c r="G12" s="671" t="str">
        <f>VLOOKUP(A12,'TABLA DE LIQUIDACION RV'!$B$5:$G$27,6,0)</f>
        <v>PANADERIA</v>
      </c>
      <c r="H12" s="685">
        <f>'TABLA DE LIQUIDACION RV'!AC16</f>
        <v>0</v>
      </c>
      <c r="I12" s="674">
        <f>'TABLA DE LIQUIDACION RV'!AD16</f>
        <v>0</v>
      </c>
      <c r="J12" s="674">
        <f>'TABLA DE LIQUIDACION RV'!AE16</f>
        <v>348613.710456</v>
      </c>
      <c r="K12" s="682">
        <v>0</v>
      </c>
      <c r="L12" s="693">
        <f>VLOOKUP(A12,'TABLA DE LIQUIDACION RV'!$B$4:$AG$27,32,0)</f>
        <v>348613.710456</v>
      </c>
      <c r="M12" s="191"/>
    </row>
    <row r="13" spans="1:18" ht="15" customHeight="1" x14ac:dyDescent="0.25">
      <c r="A13" s="150" t="str">
        <f t="shared" si="0"/>
        <v>1101</v>
      </c>
      <c r="C13" s="191" t="s">
        <v>57</v>
      </c>
      <c r="D13" s="191" t="str">
        <f>VLOOKUP(C13,'TABLA DE LIQUIDACION RV'!$B$4:$H$36,7,0)</f>
        <v>SARMIENTO AGUIRRE JONNATHAN</v>
      </c>
      <c r="E13" s="193">
        <f>VLOOKUP(C13,'TABLA DE LIQUIDACION RV'!$E$5:$I$25,5,0)</f>
        <v>1118298495</v>
      </c>
      <c r="F13" s="592" t="s">
        <v>171</v>
      </c>
      <c r="G13" s="671" t="str">
        <f>VLOOKUP(A13,'TABLA DE LIQUIDACION RV'!$B$5:$G$27,6,0)</f>
        <v>PANADERIA</v>
      </c>
      <c r="H13" s="685">
        <f>'TABLA DE LIQUIDACION RV'!AC18</f>
        <v>0</v>
      </c>
      <c r="I13" s="674">
        <f>'TABLA DE LIQUIDACION RV'!AD18</f>
        <v>0</v>
      </c>
      <c r="J13" s="674">
        <f>'TABLA DE LIQUIDACION RV'!AE18</f>
        <v>0</v>
      </c>
      <c r="K13" s="682">
        <v>0</v>
      </c>
      <c r="L13" s="846">
        <f>VLOOKUP(A13,'TABLA DE LIQUIDACION RV'!$B$4:$AG$27,32,0)</f>
        <v>0</v>
      </c>
      <c r="M13" s="191" t="s">
        <v>1072</v>
      </c>
    </row>
    <row r="14" spans="1:18" ht="15" customHeight="1" x14ac:dyDescent="0.25">
      <c r="A14" s="150" t="str">
        <f t="shared" si="0"/>
        <v>TC</v>
      </c>
      <c r="C14" s="191" t="s">
        <v>185</v>
      </c>
      <c r="D14" s="191" t="str">
        <f>'TABLA DE LIQUIDACION RV'!H23</f>
        <v>MARTINEZ GUERRERO YULI ANDREA</v>
      </c>
      <c r="E14" s="193">
        <f>'TABLA DE LIQUIDACION RV'!I23</f>
        <v>1114388535</v>
      </c>
      <c r="F14" s="592" t="s">
        <v>252</v>
      </c>
      <c r="G14" s="671" t="s">
        <v>1071</v>
      </c>
      <c r="H14" s="685">
        <f>'TABLA DE LIQUIDACION RV'!AC24</f>
        <v>32355.394500000002</v>
      </c>
      <c r="I14" s="674">
        <f>'TABLA DE LIQUIDACION RV'!AD24</f>
        <v>614670.98207737249</v>
      </c>
      <c r="J14" s="674">
        <f>'TABLA DE LIQUIDACION RV'!AE24</f>
        <v>176055.264</v>
      </c>
      <c r="K14" s="682">
        <v>0</v>
      </c>
      <c r="L14" s="693">
        <f>'TABLA DE LIQUIDACION RV'!AG22</f>
        <v>823081.64057737251</v>
      </c>
      <c r="M14" s="191"/>
    </row>
    <row r="15" spans="1:18" ht="15" customHeight="1" x14ac:dyDescent="0.25">
      <c r="A15" s="150" t="str">
        <f t="shared" si="0"/>
        <v>SUPCONS</v>
      </c>
      <c r="C15" s="191" t="s">
        <v>298</v>
      </c>
      <c r="D15" s="191" t="str">
        <f>'TABLA DE LIQUIDACION RV'!H25</f>
        <v>FONTECHA GONZALEZ HERNANDO</v>
      </c>
      <c r="E15" s="193">
        <f>VLOOKUP(C15,'TABLA DE LIQUIDACION RV'!$E$5:$I$25,5,0)</f>
        <v>13957442</v>
      </c>
      <c r="F15" s="592" t="s">
        <v>171</v>
      </c>
      <c r="G15" s="671" t="str">
        <f>VLOOKUP(A15,'TABLA DE LIQUIDACION RV'!$B$5:$G$27,6,0)</f>
        <v>CONSUMO</v>
      </c>
      <c r="H15" s="685">
        <f>'TABLA DE LIQUIDACION RV'!AC25</f>
        <v>67555.135626000003</v>
      </c>
      <c r="I15" s="674">
        <f>'TABLA DE LIQUIDACION RV'!AD25</f>
        <v>722335.51447518775</v>
      </c>
      <c r="J15" s="674">
        <f>'TABLA DE LIQUIDACION RV'!AE25</f>
        <v>400710.50322894886</v>
      </c>
      <c r="K15" s="682">
        <v>0</v>
      </c>
      <c r="L15" s="693">
        <f>VLOOKUP(A15,'TABLA DE LIQUIDACION RV'!$B$4:$AG$27,32,0)</f>
        <v>1190601.1533301366</v>
      </c>
      <c r="M15" s="191"/>
    </row>
    <row r="16" spans="1:18" ht="15" customHeight="1" x14ac:dyDescent="0.25">
      <c r="A16" s="150" t="str">
        <f t="shared" si="0"/>
        <v>SUPNAC.</v>
      </c>
      <c r="C16" s="191" t="s">
        <v>151</v>
      </c>
      <c r="D16" s="191" t="str">
        <f>'TABLA DE LIQUIDACION RV'!H26</f>
        <v>RIVEROS TORRES CESAR ARIEL</v>
      </c>
      <c r="E16" s="193">
        <f>'TABLA DE LIQUIDACION RV'!I26</f>
        <v>1055312394</v>
      </c>
      <c r="F16" s="592" t="s">
        <v>171</v>
      </c>
      <c r="G16" s="671" t="str">
        <f>VLOOKUP(A16,'TABLA DE LIQUIDACION RV'!$B$5:$G$27,6,0)</f>
        <v>CONSUMO</v>
      </c>
      <c r="H16" s="685">
        <f>'TABLA DE LIQUIDACION RV'!AC26</f>
        <v>24888.71</v>
      </c>
      <c r="I16" s="674">
        <f ca="1">'TABLA DE LIQUIDACION RV'!AD26</f>
        <v>691250.85342657031</v>
      </c>
      <c r="J16" s="674">
        <f>'TABLA DE LIQUIDACION RV'!AE26</f>
        <v>405330.42</v>
      </c>
      <c r="K16" s="682">
        <v>0</v>
      </c>
      <c r="L16" s="693">
        <f ca="1">VLOOKUP(A16,'TABLA DE LIQUIDACION RV'!$B$4:$AG$27,32,0)</f>
        <v>1121469.9834265702</v>
      </c>
      <c r="M16" s="191"/>
    </row>
    <row r="17" spans="1:13" ht="15" customHeight="1" x14ac:dyDescent="0.25">
      <c r="A17" s="150" t="str">
        <f t="shared" si="0"/>
        <v>SUPPAN</v>
      </c>
      <c r="C17" s="191" t="s">
        <v>323</v>
      </c>
      <c r="D17" s="191" t="str">
        <f>'TABLA DE LIQUIDACION RV'!H27</f>
        <v>HERNANDEZ NEIRA CHRISTIAN CAMILO</v>
      </c>
      <c r="E17" s="193">
        <f>'TABLA DE LIQUIDACION RV'!I27</f>
        <v>80211959</v>
      </c>
      <c r="F17" s="592" t="s">
        <v>171</v>
      </c>
      <c r="G17" s="671" t="str">
        <f>VLOOKUP(A17,'TABLA DE LIQUIDACION RV'!$B$5:$G$27,6,0)</f>
        <v>PANADERIA</v>
      </c>
      <c r="H17" s="685">
        <f>'TABLA DE LIQUIDACION RV'!AC27</f>
        <v>0</v>
      </c>
      <c r="I17" s="674">
        <f>'TABLA DE LIQUIDACION RV'!AD27</f>
        <v>578166.59842729918</v>
      </c>
      <c r="J17" s="674">
        <f>'TABLA DE LIQUIDACION RV'!AE27</f>
        <v>405330.42</v>
      </c>
      <c r="K17" s="682">
        <v>0</v>
      </c>
      <c r="L17" s="693">
        <f>VLOOKUP(A17,'TABLA DE LIQUIDACION RV'!$B$4:$AG$27,32,0)</f>
        <v>983497.0184272991</v>
      </c>
      <c r="M17" s="191"/>
    </row>
    <row r="18" spans="1:13" ht="15" customHeight="1" x14ac:dyDescent="0.25">
      <c r="C18" s="191" t="s">
        <v>1074</v>
      </c>
      <c r="D18" s="547" t="str">
        <f>'TABLA DE LIQUIDACION JV'!H8</f>
        <v>GUZMAN AVILA JULIANA</v>
      </c>
      <c r="E18" s="548">
        <f>'TABLA DE LIQUIDACION JV'!I8</f>
        <v>52324863</v>
      </c>
      <c r="F18" s="592" t="s">
        <v>171</v>
      </c>
      <c r="G18" s="671" t="s">
        <v>1077</v>
      </c>
      <c r="H18" s="685">
        <f>'TABLA DE LIQUIDACION JV'!AH8</f>
        <v>0</v>
      </c>
      <c r="I18" s="674">
        <f>'TABLA DE LIQUIDACION JV'!AI8</f>
        <v>0</v>
      </c>
      <c r="J18" s="674">
        <f>'TABLA DE LIQUIDACION JV'!AJ8</f>
        <v>0</v>
      </c>
      <c r="K18" s="682">
        <f>'TABLA DE LIQUIDACION JV'!AK8</f>
        <v>0</v>
      </c>
      <c r="L18" s="846">
        <f>'TABLA DE LIQUIDACION JV'!AL8</f>
        <v>0</v>
      </c>
      <c r="M18" s="191" t="s">
        <v>1072</v>
      </c>
    </row>
    <row r="19" spans="1:13" x14ac:dyDescent="0.25">
      <c r="A19" s="150" t="str">
        <f t="shared" si="0"/>
        <v>JVBGA</v>
      </c>
      <c r="C19" s="547" t="s">
        <v>95</v>
      </c>
      <c r="D19" s="547" t="str">
        <f>VLOOKUP(C19,'TABLA DE LIQUIDACION JV'!D4:I7,5,0)</f>
        <v>SEGURA CAMACHO MARYSOL</v>
      </c>
      <c r="E19" s="548">
        <f>VLOOKUP(C19,'TABLA DE LIQUIDACION JV'!D4:J7,6,0)</f>
        <v>52371370</v>
      </c>
      <c r="F19" s="593" t="s">
        <v>171</v>
      </c>
      <c r="G19" s="672" t="s">
        <v>308</v>
      </c>
      <c r="H19" s="685">
        <f>'TABLA DE LIQUIDACION JV'!AH7</f>
        <v>153900.41040000002</v>
      </c>
      <c r="I19" s="683">
        <f>'TABLA DE LIQUIDACION JV'!AI7</f>
        <v>1069886.3537935237</v>
      </c>
      <c r="J19" s="683">
        <f>'TABLA DE LIQUIDACION JV'!AJ7</f>
        <v>615601.64160000009</v>
      </c>
      <c r="K19" s="683">
        <f>'TABLA DE LIQUIDACION JV'!AK7</f>
        <v>0</v>
      </c>
      <c r="L19" s="694">
        <f>'TABLA DE LIQUIDACION JV'!AL7</f>
        <v>1839388.4057935239</v>
      </c>
      <c r="M19" s="191" t="s">
        <v>1078</v>
      </c>
    </row>
    <row r="20" spans="1:13" x14ac:dyDescent="0.25">
      <c r="A20" s="150" t="str">
        <f t="shared" si="0"/>
        <v>GC</v>
      </c>
      <c r="C20" s="547" t="s">
        <v>184</v>
      </c>
      <c r="D20" s="547" t="str">
        <f>'TABLA DE LIQUIDACION DC'!F14</f>
        <v>CASTAÑO BEJARANO CARLOS ANDRÉS</v>
      </c>
      <c r="E20" s="548">
        <f>'TABLA DE LIQUIDACION DC'!G14</f>
        <v>1026255257</v>
      </c>
      <c r="F20" s="593" t="s">
        <v>171</v>
      </c>
      <c r="G20" s="672" t="s">
        <v>313</v>
      </c>
      <c r="H20" s="686">
        <f>'TABLA DE LIQUIDACION DC'!AF14</f>
        <v>336608.88299999997</v>
      </c>
      <c r="I20" s="686">
        <f>'TABLA DE LIQUIDACION DC'!AG14</f>
        <v>2591389.5554651446</v>
      </c>
      <c r="J20" s="686">
        <f>'TABLA DE LIQUIDACION DC'!AH14</f>
        <v>1346435.5319999999</v>
      </c>
      <c r="K20" s="686">
        <f>'TABLA DE LIQUIDACION DC'!AI14</f>
        <v>0</v>
      </c>
      <c r="L20" s="694">
        <f>'TABLA DE LIQUIDACION DC'!AJ14</f>
        <v>4274433.9704651441</v>
      </c>
      <c r="M20" s="191"/>
    </row>
    <row r="21" spans="1:13" x14ac:dyDescent="0.25">
      <c r="A21" s="150" t="str">
        <f t="shared" si="0"/>
        <v>DC</v>
      </c>
      <c r="C21" s="192" t="s">
        <v>101</v>
      </c>
      <c r="D21" s="192" t="str">
        <f>'TABLA DE LIQUIDACION DC'!F7</f>
        <v>MAURICIO RIVEROS CORTES</v>
      </c>
      <c r="E21" s="194">
        <f>'TABLA DE LIQUIDACION DC'!G7</f>
        <v>1032405997</v>
      </c>
      <c r="F21" s="594" t="s">
        <v>171</v>
      </c>
      <c r="G21" s="690" t="s">
        <v>1079</v>
      </c>
      <c r="H21" s="688">
        <f>'TABLA DE LIQUIDACION DC'!AF7</f>
        <v>341610.5</v>
      </c>
      <c r="I21" s="688">
        <f>'TABLA DE LIQUIDACION DC'!AG7</f>
        <v>2629894.5941281826</v>
      </c>
      <c r="J21" s="688">
        <f>'TABLA DE LIQUIDACION DC'!AH7</f>
        <v>1366442</v>
      </c>
      <c r="K21" s="688">
        <f>'TABLA DE LIQUIDACION DC'!AI7</f>
        <v>0</v>
      </c>
      <c r="L21" s="695">
        <f>'TABLA DE LIQUIDACION DC'!AJ7</f>
        <v>4337947.0941281822</v>
      </c>
      <c r="M21" s="192"/>
    </row>
    <row r="22" spans="1:13" ht="5.4" customHeight="1" x14ac:dyDescent="0.25">
      <c r="C22" s="188"/>
      <c r="D22" s="188"/>
      <c r="E22" s="188"/>
      <c r="F22" s="189"/>
      <c r="G22" s="190"/>
      <c r="H22" s="189"/>
      <c r="I22" s="189"/>
      <c r="J22" s="189"/>
      <c r="K22" s="189"/>
      <c r="L22" s="190"/>
      <c r="M22" s="188"/>
    </row>
    <row r="23" spans="1:13" ht="27.6" x14ac:dyDescent="0.25">
      <c r="C23" s="800" t="s">
        <v>182</v>
      </c>
      <c r="D23" s="801" t="s">
        <v>2</v>
      </c>
      <c r="E23" s="800" t="s">
        <v>9</v>
      </c>
      <c r="F23" s="801" t="s">
        <v>161</v>
      </c>
      <c r="G23" s="802" t="s">
        <v>307</v>
      </c>
      <c r="H23" s="800" t="s">
        <v>314</v>
      </c>
      <c r="I23" s="801" t="s">
        <v>315</v>
      </c>
      <c r="J23" s="800" t="s">
        <v>316</v>
      </c>
      <c r="K23" s="801"/>
      <c r="L23" s="803" t="s">
        <v>15</v>
      </c>
      <c r="M23" s="800" t="s">
        <v>172</v>
      </c>
    </row>
    <row r="24" spans="1:13" x14ac:dyDescent="0.25">
      <c r="C24" s="804" t="s">
        <v>40</v>
      </c>
      <c r="D24" s="804" t="str">
        <f>'TABLA DE LIQUIDACION (Prev)'!G5</f>
        <v>RUBIANO ZIPACON BORIS RENE</v>
      </c>
      <c r="E24" s="815">
        <f>'TABLA DE LIQUIDACION (Prev)'!H5</f>
        <v>79906735</v>
      </c>
      <c r="F24" s="821" t="s">
        <v>171</v>
      </c>
      <c r="G24" s="816" t="s">
        <v>264</v>
      </c>
      <c r="H24" s="806">
        <f>'TABLA DE LIQUIDACION (Prev)'!AB5</f>
        <v>374301.628272</v>
      </c>
      <c r="I24" s="827">
        <f>'TABLA DE LIQUIDACION (Prev)'!AC5</f>
        <v>0</v>
      </c>
      <c r="J24" s="822">
        <f>'TABLA DE LIQUIDACION (Prev)'!AD5</f>
        <v>62383.604712</v>
      </c>
      <c r="K24" s="805"/>
      <c r="L24" s="828">
        <f>'TABLA DE LIQUIDACION (Prev)'!AF5</f>
        <v>436685.232984</v>
      </c>
      <c r="M24" s="807"/>
    </row>
    <row r="25" spans="1:13" x14ac:dyDescent="0.25">
      <c r="C25" s="808" t="s">
        <v>43</v>
      </c>
      <c r="D25" s="808" t="str">
        <f>'TABLA DE LIQUIDACION (Prev)'!G6</f>
        <v xml:space="preserve">PEÑA SERRANO WILLIAM </v>
      </c>
      <c r="E25" s="817">
        <f>'TABLA DE LIQUIDACION (Prev)'!H6</f>
        <v>1010178894</v>
      </c>
      <c r="F25" s="823" t="s">
        <v>171</v>
      </c>
      <c r="G25" s="818" t="s">
        <v>264</v>
      </c>
      <c r="H25" s="799">
        <f>'TABLA DE LIQUIDACION (Prev)'!AB6</f>
        <v>141679.71999999997</v>
      </c>
      <c r="I25" s="685">
        <f>'TABLA DE LIQUIDACION (Prev)'!AC6</f>
        <v>321187.35432211106</v>
      </c>
      <c r="J25" s="824">
        <f>'TABLA DE LIQUIDACION (Prev)'!AD6</f>
        <v>192279.62</v>
      </c>
      <c r="K25" s="189"/>
      <c r="L25" s="693">
        <f>'TABLA DE LIQUIDACION (Prev)'!AF6</f>
        <v>655146.69432211109</v>
      </c>
      <c r="M25" s="809"/>
    </row>
    <row r="26" spans="1:13" x14ac:dyDescent="0.25">
      <c r="C26" s="808" t="s">
        <v>44</v>
      </c>
      <c r="D26" s="808" t="str">
        <f>'TABLA DE LIQUIDACION (Prev)'!G7</f>
        <v xml:space="preserve">RODRIGUEZ MONTAÑA OSCAR JAVIER </v>
      </c>
      <c r="E26" s="817">
        <f>'TABLA DE LIQUIDACION (Prev)'!H7</f>
        <v>80181663</v>
      </c>
      <c r="F26" s="823" t="s">
        <v>171</v>
      </c>
      <c r="G26" s="818" t="s">
        <v>264</v>
      </c>
      <c r="H26" s="799">
        <f>'TABLA DE LIQUIDACION (Prev)'!AB7</f>
        <v>202399.6</v>
      </c>
      <c r="I26" s="685">
        <f>'TABLA DE LIQUIDACION (Prev)'!AC7</f>
        <v>205343.59418181819</v>
      </c>
      <c r="J26" s="824">
        <f>'TABLA DE LIQUIDACION (Prev)'!AD7</f>
        <v>70839.859999999986</v>
      </c>
      <c r="K26" s="189"/>
      <c r="L26" s="693">
        <f>'TABLA DE LIQUIDACION (Prev)'!AF7</f>
        <v>478583.05418181815</v>
      </c>
      <c r="M26" s="809"/>
    </row>
    <row r="27" spans="1:13" x14ac:dyDescent="0.25">
      <c r="C27" s="808" t="s">
        <v>47</v>
      </c>
      <c r="D27" s="808" t="str">
        <f>'TABLA DE LIQUIDACION (Prev)'!G8</f>
        <v>GONZALEZ LINA JOHANA</v>
      </c>
      <c r="E27" s="817">
        <f>'TABLA DE LIQUIDACION (Prev)'!H8</f>
        <v>1018453232</v>
      </c>
      <c r="F27" s="823" t="s">
        <v>252</v>
      </c>
      <c r="G27" s="818" t="s">
        <v>264</v>
      </c>
      <c r="H27" s="799">
        <f>'TABLA DE LIQUIDACION (Prev)'!AB8</f>
        <v>323839.35999999999</v>
      </c>
      <c r="I27" s="685">
        <f>'TABLA DE LIQUIDACION (Prev)'!AC8</f>
        <v>337718.18971428572</v>
      </c>
      <c r="J27" s="824">
        <f>'TABLA DE LIQUIDACION (Prev)'!AD8</f>
        <v>0</v>
      </c>
      <c r="K27" s="189"/>
      <c r="L27" s="693">
        <f>'TABLA DE LIQUIDACION (Prev)'!AF8</f>
        <v>661557.54971428565</v>
      </c>
      <c r="M27" s="810"/>
    </row>
    <row r="28" spans="1:13" x14ac:dyDescent="0.25">
      <c r="C28" s="808" t="s">
        <v>292</v>
      </c>
      <c r="D28" s="808" t="str">
        <f>'TABLA DE LIQUIDACION (Prev)'!G9</f>
        <v>RIVAS PENAGOS ELIZABETH</v>
      </c>
      <c r="E28" s="817">
        <f>'TABLA DE LIQUIDACION (Prev)'!H9</f>
        <v>1012357599</v>
      </c>
      <c r="F28" s="823" t="s">
        <v>252</v>
      </c>
      <c r="G28" s="818" t="s">
        <v>264</v>
      </c>
      <c r="H28" s="799">
        <f>'TABLA DE LIQUIDACION (Prev)'!AB9</f>
        <v>229386.21333333335</v>
      </c>
      <c r="I28" s="685">
        <f>'TABLA DE LIQUIDACION (Prev)'!AC9</f>
        <v>246349.22742857144</v>
      </c>
      <c r="J28" s="824">
        <f>'TABLA DE LIQUIDACION (Prev)'!AD9</f>
        <v>192279.62</v>
      </c>
      <c r="K28" s="189"/>
      <c r="L28" s="693">
        <f>'TABLA DE LIQUIDACION (Prev)'!AF9</f>
        <v>668015.06076190481</v>
      </c>
      <c r="M28" s="809"/>
    </row>
    <row r="29" spans="1:13" x14ac:dyDescent="0.25">
      <c r="C29" s="811" t="s">
        <v>455</v>
      </c>
      <c r="D29" s="811" t="str">
        <f>'TABLA DE LIQUIDACION (Prev)'!G10</f>
        <v>GONZALEZ GONZALEZ CESAR ALBERTO</v>
      </c>
      <c r="E29" s="819">
        <f>'TABLA DE LIQUIDACION (Prev)'!H10</f>
        <v>79745362</v>
      </c>
      <c r="F29" s="825" t="s">
        <v>252</v>
      </c>
      <c r="G29" s="820" t="s">
        <v>264</v>
      </c>
      <c r="H29" s="813">
        <f>'TABLA DE LIQUIDACION (Prev)'!AB10</f>
        <v>0</v>
      </c>
      <c r="I29" s="687">
        <f>'TABLA DE LIQUIDACION (Prev)'!AC10</f>
        <v>0</v>
      </c>
      <c r="J29" s="826">
        <f>'TABLA DE LIQUIDACION (Prev)'!AD10</f>
        <v>0</v>
      </c>
      <c r="K29" s="812"/>
      <c r="L29" s="695">
        <f>'TABLA DE LIQUIDACION (Prev)'!AF10</f>
        <v>0</v>
      </c>
      <c r="M29" s="814"/>
    </row>
    <row r="31" spans="1:13" x14ac:dyDescent="0.25">
      <c r="G31" s="150"/>
      <c r="H31" s="691"/>
      <c r="I31" s="691"/>
      <c r="J31" s="691"/>
      <c r="K31" s="689" t="s">
        <v>186</v>
      </c>
      <c r="L31" s="153">
        <f ca="1">SUM(L5:L21)+SUM(L24:L29)</f>
        <v>23597684.02319365</v>
      </c>
    </row>
  </sheetData>
  <mergeCells count="1">
    <mergeCell ref="C2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C39E-FD13-42CC-B91E-138DFE368C2B}">
  <sheetPr codeName="Hoja5"/>
  <dimension ref="B1:AH35"/>
  <sheetViews>
    <sheetView showGridLines="0" zoomScale="75" zoomScaleNormal="75" workbookViewId="0">
      <pane xSplit="9" ySplit="4" topLeftCell="J5" activePane="bottomRight" state="frozen"/>
      <selection activeCell="M12" sqref="M12:T19"/>
      <selection pane="topRight" activeCell="M12" sqref="M12:T19"/>
      <selection pane="bottomLeft" activeCell="M12" sqref="M12:T19"/>
      <selection pane="bottomRight" activeCell="X38" sqref="X38"/>
    </sheetView>
  </sheetViews>
  <sheetFormatPr baseColWidth="10" defaultRowHeight="14.4" x14ac:dyDescent="0.3"/>
  <cols>
    <col min="1" max="1" width="1.5546875" customWidth="1"/>
    <col min="2" max="2" width="8.88671875" hidden="1" customWidth="1"/>
    <col min="3" max="3" width="9.109375" hidden="1" customWidth="1"/>
    <col min="4" max="4" width="10" hidden="1" customWidth="1"/>
    <col min="5" max="5" width="9.6640625" style="44" customWidth="1"/>
    <col min="6" max="6" width="22.77734375" style="108" customWidth="1"/>
    <col min="7" max="7" width="12.109375" style="108" customWidth="1"/>
    <col min="8" max="8" width="32.44140625" style="42" customWidth="1"/>
    <col min="9" max="9" width="15.6640625" style="45" customWidth="1"/>
    <col min="10" max="10" width="8.5546875" style="42" customWidth="1"/>
    <col min="11" max="11" width="9" style="42" customWidth="1"/>
    <col min="12" max="12" width="9.88671875" style="109" customWidth="1"/>
    <col min="13" max="14" width="8.88671875" style="42" customWidth="1"/>
    <col min="15" max="15" width="10.44140625" style="42" customWidth="1"/>
    <col min="16" max="17" width="10.109375" style="42" hidden="1" customWidth="1"/>
    <col min="18" max="18" width="10.88671875" style="42" hidden="1" customWidth="1"/>
    <col min="19" max="19" width="10.21875" style="42" customWidth="1"/>
    <col min="20" max="20" width="10.109375" style="42" customWidth="1"/>
    <col min="21" max="21" width="11.33203125" style="42" customWidth="1"/>
    <col min="22" max="24" width="7.6640625" style="42" customWidth="1"/>
    <col min="25" max="25" width="6.6640625" style="42" customWidth="1"/>
    <col min="26" max="26" width="7.88671875" style="42" customWidth="1"/>
    <col min="27" max="27" width="6.6640625" style="42" customWidth="1"/>
    <col min="28" max="28" width="12.6640625" style="42" customWidth="1"/>
    <col min="29" max="29" width="11.33203125" style="44" customWidth="1"/>
    <col min="30" max="30" width="13.33203125" style="44" customWidth="1"/>
    <col min="31" max="31" width="13" style="42" customWidth="1"/>
    <col min="32" max="32" width="9.77734375" style="42" hidden="1" customWidth="1"/>
    <col min="33" max="33" width="13.5546875" style="42" customWidth="1"/>
  </cols>
  <sheetData>
    <row r="1" spans="2:33" ht="15" thickBot="1" x14ac:dyDescent="0.35"/>
    <row r="2" spans="2:33" x14ac:dyDescent="0.3">
      <c r="B2" s="15"/>
      <c r="C2" s="15"/>
      <c r="D2" s="15"/>
      <c r="E2" s="111"/>
      <c r="F2" s="112"/>
      <c r="G2" s="112"/>
      <c r="H2" s="289"/>
      <c r="I2" s="288"/>
      <c r="J2" s="941" t="s">
        <v>177</v>
      </c>
      <c r="K2" s="942"/>
      <c r="L2" s="942"/>
      <c r="M2" s="942"/>
      <c r="N2" s="942"/>
      <c r="O2" s="942"/>
      <c r="P2" s="942"/>
      <c r="Q2" s="942"/>
      <c r="R2" s="942"/>
      <c r="S2" s="947" t="s">
        <v>195</v>
      </c>
      <c r="T2" s="947"/>
      <c r="U2" s="947"/>
      <c r="V2" s="938" t="s">
        <v>16</v>
      </c>
      <c r="W2" s="939"/>
      <c r="X2" s="940"/>
      <c r="Y2" s="253" t="s">
        <v>142</v>
      </c>
      <c r="Z2" s="253" t="s">
        <v>143</v>
      </c>
      <c r="AA2" s="253" t="s">
        <v>144</v>
      </c>
      <c r="AB2" s="934" t="s">
        <v>17</v>
      </c>
      <c r="AC2" s="936" t="s">
        <v>20</v>
      </c>
      <c r="AD2" s="936"/>
      <c r="AE2" s="936"/>
      <c r="AF2" s="936"/>
      <c r="AG2" s="937"/>
    </row>
    <row r="3" spans="2:33" ht="15" thickBot="1" x14ac:dyDescent="0.35">
      <c r="E3" s="111"/>
      <c r="F3" s="112"/>
      <c r="G3" s="112"/>
      <c r="H3" s="112"/>
      <c r="I3" s="113"/>
      <c r="J3" s="946" t="s">
        <v>125</v>
      </c>
      <c r="K3" s="944"/>
      <c r="L3" s="945"/>
      <c r="M3" s="944" t="s">
        <v>74</v>
      </c>
      <c r="N3" s="944"/>
      <c r="O3" s="944"/>
      <c r="P3" s="943" t="s">
        <v>15</v>
      </c>
      <c r="Q3" s="944"/>
      <c r="R3" s="945"/>
      <c r="S3" s="944"/>
      <c r="T3" s="944"/>
      <c r="U3" s="944"/>
      <c r="V3" s="247" t="s">
        <v>142</v>
      </c>
      <c r="W3" s="247" t="s">
        <v>143</v>
      </c>
      <c r="X3" s="247" t="s">
        <v>144</v>
      </c>
      <c r="Y3" s="269">
        <v>0.05</v>
      </c>
      <c r="Z3" s="269">
        <v>0.65</v>
      </c>
      <c r="AA3" s="269">
        <v>0.3</v>
      </c>
      <c r="AB3" s="935"/>
      <c r="AC3" s="248" t="s">
        <v>6</v>
      </c>
      <c r="AD3" s="249" t="s">
        <v>6</v>
      </c>
      <c r="AE3" s="249" t="s">
        <v>4</v>
      </c>
      <c r="AF3" s="250" t="s">
        <v>96</v>
      </c>
      <c r="AG3" s="251" t="s">
        <v>15</v>
      </c>
    </row>
    <row r="4" spans="2:33" s="185" customFormat="1" ht="15" thickBot="1" x14ac:dyDescent="0.35">
      <c r="E4" s="206" t="s">
        <v>66</v>
      </c>
      <c r="F4" s="317" t="s">
        <v>157</v>
      </c>
      <c r="G4" s="207" t="s">
        <v>193</v>
      </c>
      <c r="H4" s="343" t="s">
        <v>2</v>
      </c>
      <c r="I4" s="700" t="s">
        <v>9</v>
      </c>
      <c r="J4" s="344" t="s">
        <v>140</v>
      </c>
      <c r="K4" s="345" t="s">
        <v>5</v>
      </c>
      <c r="L4" s="346" t="s">
        <v>7</v>
      </c>
      <c r="M4" s="347" t="s">
        <v>140</v>
      </c>
      <c r="N4" s="347" t="s">
        <v>5</v>
      </c>
      <c r="O4" s="347" t="s">
        <v>7</v>
      </c>
      <c r="P4" s="344" t="s">
        <v>140</v>
      </c>
      <c r="Q4" s="345" t="s">
        <v>5</v>
      </c>
      <c r="R4" s="346" t="s">
        <v>7</v>
      </c>
      <c r="S4" s="346" t="s">
        <v>3</v>
      </c>
      <c r="T4" s="348" t="s">
        <v>5</v>
      </c>
      <c r="U4" s="344" t="s">
        <v>7</v>
      </c>
      <c r="V4" s="349" t="s">
        <v>10</v>
      </c>
      <c r="W4" s="349" t="s">
        <v>10</v>
      </c>
      <c r="X4" s="349" t="s">
        <v>10</v>
      </c>
      <c r="Y4" s="350">
        <v>0</v>
      </c>
      <c r="Z4" s="351">
        <v>0.7</v>
      </c>
      <c r="AA4" s="352">
        <v>0.3</v>
      </c>
      <c r="AB4" s="349" t="s">
        <v>18</v>
      </c>
      <c r="AC4" s="243" t="s">
        <v>73</v>
      </c>
      <c r="AD4" s="244" t="s">
        <v>74</v>
      </c>
      <c r="AE4" s="244" t="s">
        <v>18</v>
      </c>
      <c r="AF4" s="245"/>
      <c r="AG4" s="246" t="s">
        <v>18</v>
      </c>
    </row>
    <row r="5" spans="2:33" s="68" customFormat="1" ht="15.6" customHeight="1" x14ac:dyDescent="0.3">
      <c r="B5" s="116" t="str">
        <f>TRIM(E5)</f>
        <v>1302</v>
      </c>
      <c r="C5" s="116" t="s">
        <v>152</v>
      </c>
      <c r="D5" s="116" t="s">
        <v>152</v>
      </c>
      <c r="E5" s="166" t="s">
        <v>41</v>
      </c>
      <c r="F5" s="154" t="str">
        <f>IFERROR(VLOOKUP(E5,COLABORADORES!$B$3:$J$60,2,0),"")</f>
        <v>BOGOTA CONSUMO</v>
      </c>
      <c r="G5" s="169" t="str">
        <f>IFERROR(VLOOKUP(B5,COLABORADORES!$B$3:$J$60,3,0),"")</f>
        <v>CONSUMO</v>
      </c>
      <c r="H5" s="154" t="str">
        <f>IFERROR(VLOOKUP(E5,COLABORADORES!$B$3:$J$60,5,0),"")</f>
        <v>CARDOZO VILLAMIL INGRID MARYOLI</v>
      </c>
      <c r="I5" s="341">
        <f>IFERROR(VLOOKUP(E5,COLABORADORES!$B$3:$J$60,6,0),"")</f>
        <v>52748692</v>
      </c>
      <c r="J5" s="161">
        <f>SUM(SUMIF('SOPORTE VENTAS'!$C:$C,E5,'SOPORTE VENTAS'!$N:$N))</f>
        <v>5.479129890035999</v>
      </c>
      <c r="K5" s="161">
        <f>SUM(SUMIF('SOPORTE VENTAS'!$C:$C,E5,'SOPORTE VENTAS'!$K:$K))</f>
        <v>11.392629142144004</v>
      </c>
      <c r="L5" s="162">
        <f t="shared" ref="L5:L19" si="0">IFERROR(K5/J5,"")</f>
        <v>2.079277069678878</v>
      </c>
      <c r="M5" s="241">
        <f>SUMIF('SOPORTE VENTAS'!$C:$C,E5,'SOPORTE VENTAS'!$O:$O)</f>
        <v>58.425192788182656</v>
      </c>
      <c r="N5" s="653">
        <f>SUMIF('SOPORTE VENTAS'!$C:$C,E5,'SOPORTE VENTAS'!$L:$L)</f>
        <v>67.514689081540212</v>
      </c>
      <c r="O5" s="240">
        <f t="shared" ref="O5:O16" si="1">IFERROR(N5/M5,"")</f>
        <v>1.1555749473743464</v>
      </c>
      <c r="P5" s="155">
        <f>SUM(J5,M5)</f>
        <v>63.904322678218655</v>
      </c>
      <c r="Q5" s="155">
        <f t="shared" ref="Q5:Q19" si="2">SUM(K5,N5)</f>
        <v>78.907318223684214</v>
      </c>
      <c r="R5" s="157">
        <f t="shared" ref="R5:R19" si="3">IFERROR(Q5/P5,"")</f>
        <v>1.2347727808807405</v>
      </c>
      <c r="S5" s="483">
        <f>(IFERROR(VLOOKUP(B5,'SOPORTE RECAUDOS'!$A$5:$E$27,5,0),0)/1000000)</f>
        <v>81.697962000000004</v>
      </c>
      <c r="T5" s="484">
        <f>(IFERROR(VLOOKUP(B5,'SOPORTE RECAUDOS'!$A$4:$H$27,8,0),0)/1000000)</f>
        <v>97.832233000000002</v>
      </c>
      <c r="U5" s="240">
        <f t="shared" ref="U5:U19" si="4">IFERROR(T5/S5,0)</f>
        <v>1.1974868234779221</v>
      </c>
      <c r="V5" s="226">
        <f>IF(L5&lt;'ACELERADORES DE CUMPLIMIENTO'!$G$4,0,IF(L5&lt;'ACELERADORES DE CUMPLIMIENTO'!$G$6,'ACELERADORES DE CUMPLIMIENTO'!$H$5,IF(L5&lt;='ACELERADORES DE CUMPLIMIENTO'!$G$8,'ACELERADORES DE CUMPLIMIENTO'!$H$7,IF(L5&lt;='ACELERADORES DE CUMPLIMIENTO'!$G$11,'TABLA DE LIQUIDACION RV'!L5,IF(L5&lt;'ACELERADORES DE CUMPLIMIENTO'!$G$13,((('TABLA DE LIQUIDACION RV'!L5-1)*2)+1),IF(L5&lt;'ACELERADORES DE CUMPLIMIENTO'!$G$15,((('TABLA DE LIQUIDACION RV'!L5-1)*3)+1),190%))))))</f>
        <v>1.9</v>
      </c>
      <c r="W5" s="158">
        <f>IF(O5&lt;'ACELERADORES DE CUMPLIMIENTO'!$G$4,0,IF(O5&lt;'ACELERADORES DE CUMPLIMIENTO'!$G$6,'ACELERADORES DE CUMPLIMIENTO'!$H$5,IF(O5&lt;='ACELERADORES DE CUMPLIMIENTO'!$G$8,'ACELERADORES DE CUMPLIMIENTO'!$H$7,IF(O5&lt;='ACELERADORES DE CUMPLIMIENTO'!$G$11,'TABLA DE LIQUIDACION RV'!O5,IF(O5&lt;'ACELERADORES DE CUMPLIMIENTO'!$G$13,((('TABLA DE LIQUIDACION RV'!O5-1)*2)+1),IF(O5&lt;'ACELERADORES DE CUMPLIMIENTO'!$G$15,((('TABLA DE LIQUIDACION RV'!O5-1)*3)+1),190%))))))</f>
        <v>1.4667248421230392</v>
      </c>
      <c r="X5" s="227">
        <f>IF(U5&lt;'ACELERADORES DE CUMPLIMIENTO'!$G$4,0,IF(U5&lt;'ACELERADORES DE CUMPLIMIENTO'!$G$6,'ACELERADORES DE CUMPLIMIENTO'!$H$5,IF(U5&lt;='ACELERADORES DE CUMPLIMIENTO'!$G$8,'ACELERADORES DE CUMPLIMIENTO'!$H$7,IF(U5&lt;='ACELERADORES DE CUMPLIMIENTO'!$G$11,'TABLA DE LIQUIDACION RV'!U5,IF(U5&lt;'ACELERADORES DE CUMPLIMIENTO'!$G$13,((('TABLA DE LIQUIDACION RV'!U5-1)*2)+1),IF(U5&lt;'ACELERADORES DE CUMPLIMIENTO'!$G$15,((('TABLA DE LIQUIDACION RV'!U5-1)*3)+1),190%))))))</f>
        <v>1.5924604704337664</v>
      </c>
      <c r="Y5" s="159">
        <f t="shared" ref="Y5:Y19" si="5">IF(G5="CONSUMO",V5*$Y$3,V5*$Y$4)</f>
        <v>9.5000000000000001E-2</v>
      </c>
      <c r="Z5" s="159">
        <f t="shared" ref="Z5:Z19" si="6">IF(G5="CONSUMO",W5*$Z$3,W5*$Z$4)</f>
        <v>0.95337114737997553</v>
      </c>
      <c r="AA5" s="159">
        <f t="shared" ref="AA5:AA18" si="7">IF(G5="CONSUMO",X5*$AA$3,X5*$AA$4)</f>
        <v>0.47773814113012991</v>
      </c>
      <c r="AB5" s="236">
        <f>IFERROR(VLOOKUP(I5,COLABORADORES!$G$3:$I$60,3,0),0)</f>
        <v>519863.3726</v>
      </c>
      <c r="AC5" s="326">
        <f t="shared" ref="AC5:AC19" si="8">$AB5*Y5</f>
        <v>49387.020397</v>
      </c>
      <c r="AD5" s="326">
        <f t="shared" ref="AD5:AD19" si="9">$AB5*Z5</f>
        <v>495622.74001648574</v>
      </c>
      <c r="AE5" s="326">
        <f t="shared" ref="AE5:AE16" si="10">$AB5*AA5</f>
        <v>248358.5612675641</v>
      </c>
      <c r="AF5" s="326"/>
      <c r="AG5" s="252">
        <f>SUM(AC5:AF5)</f>
        <v>793368.32168104977</v>
      </c>
    </row>
    <row r="6" spans="2:33" s="68" customFormat="1" ht="15.6" customHeight="1" x14ac:dyDescent="0.3">
      <c r="B6" s="116" t="str">
        <f>TRIM(E6)</f>
        <v>1306</v>
      </c>
      <c r="C6" s="116" t="s">
        <v>152</v>
      </c>
      <c r="D6" s="116" t="s">
        <v>152</v>
      </c>
      <c r="E6" s="166" t="s">
        <v>45</v>
      </c>
      <c r="F6" s="154" t="str">
        <f>IFERROR(VLOOKUP(E6,COLABORADORES!$B$3:$J$60,2,0),"")</f>
        <v>BOGOTA CONSUMO</v>
      </c>
      <c r="G6" s="169" t="str">
        <f>IFERROR(VLOOKUP(B6,COLABORADORES!$B$3:$J$60,3,0),"")</f>
        <v>CONSUMO</v>
      </c>
      <c r="H6" s="154" t="str">
        <f>IFERROR(VLOOKUP(E6,COLABORADORES!$B$3:$J$60,5,0),"")</f>
        <v xml:space="preserve">LOPEZ OSPINA LILIANA </v>
      </c>
      <c r="I6" s="341">
        <f>IFERROR(VLOOKUP(E6,COLABORADORES!$B$3:$J$60,6,0),"")</f>
        <v>1023863745</v>
      </c>
      <c r="J6" s="161">
        <f>SUM(SUMIF('SOPORTE VENTAS'!$C:$C,E6,'SOPORTE VENTAS'!$N:$N))</f>
        <v>13.210722847024396</v>
      </c>
      <c r="K6" s="161">
        <f>SUM(SUMIF('SOPORTE VENTAS'!$C:$C,E6,'SOPORTE VENTAS'!$K:$K))</f>
        <v>50.913423589999987</v>
      </c>
      <c r="L6" s="162">
        <f t="shared" si="0"/>
        <v>3.8539468414832276</v>
      </c>
      <c r="M6" s="241">
        <f>SUMIF('SOPORTE VENTAS'!$C:$C,E6,'SOPORTE VENTAS'!$O:$O)</f>
        <v>131.50071024974295</v>
      </c>
      <c r="N6" s="653">
        <f>SUMIF('SOPORTE VENTAS'!$C:$C,E6,'SOPORTE VENTAS'!$L:$L)</f>
        <v>164.05779873919261</v>
      </c>
      <c r="O6" s="240">
        <f t="shared" si="1"/>
        <v>1.2475810847532156</v>
      </c>
      <c r="P6" s="155">
        <f>SUM(J6,M6)</f>
        <v>144.71143309676734</v>
      </c>
      <c r="Q6" s="155">
        <f t="shared" si="2"/>
        <v>214.97122232919259</v>
      </c>
      <c r="R6" s="157">
        <f t="shared" si="3"/>
        <v>1.4855165050120338</v>
      </c>
      <c r="S6" s="483">
        <f>(IFERROR(VLOOKUP(B6,'SOPORTE RECAUDOS'!$A$5:$E$27,5,0),0)/1000000)</f>
        <v>180.50878</v>
      </c>
      <c r="T6" s="484">
        <f>(IFERROR(VLOOKUP(B6,'SOPORTE RECAUDOS'!$A$4:$H$27,8,0),0)/1000000)</f>
        <v>129.640264</v>
      </c>
      <c r="U6" s="240">
        <f t="shared" si="4"/>
        <v>0.71819367456807359</v>
      </c>
      <c r="V6" s="226">
        <f>IF(L6&lt;'ACELERADORES DE CUMPLIMIENTO'!$G$4,0,IF(L6&lt;'ACELERADORES DE CUMPLIMIENTO'!$G$6,'ACELERADORES DE CUMPLIMIENTO'!$H$5,IF(L6&lt;='ACELERADORES DE CUMPLIMIENTO'!$G$8,'ACELERADORES DE CUMPLIMIENTO'!$H$7,IF(L6&lt;='ACELERADORES DE CUMPLIMIENTO'!$G$11,'TABLA DE LIQUIDACION RV'!L6,IF(L6&lt;'ACELERADORES DE CUMPLIMIENTO'!$G$13,((('TABLA DE LIQUIDACION RV'!L6-1)*2)+1),IF(L6&lt;'ACELERADORES DE CUMPLIMIENTO'!$G$15,((('TABLA DE LIQUIDACION RV'!L6-1)*3)+1),190%))))))</f>
        <v>1.9</v>
      </c>
      <c r="W6" s="158">
        <f>IF(O6&lt;'ACELERADORES DE CUMPLIMIENTO'!$G$4,0,IF(O6&lt;'ACELERADORES DE CUMPLIMIENTO'!$G$6,'ACELERADORES DE CUMPLIMIENTO'!$H$5,IF(O6&lt;='ACELERADORES DE CUMPLIMIENTO'!$G$8,'ACELERADORES DE CUMPLIMIENTO'!$H$7,IF(O6&lt;='ACELERADORES DE CUMPLIMIENTO'!$G$11,'TABLA DE LIQUIDACION RV'!O6,IF(O6&lt;'ACELERADORES DE CUMPLIMIENTO'!$G$13,((('TABLA DE LIQUIDACION RV'!O6-1)*2)+1),IF(O6&lt;'ACELERADORES DE CUMPLIMIENTO'!$G$15,((('TABLA DE LIQUIDACION RV'!O6-1)*3)+1),190%))))))</f>
        <v>1.7427432542596468</v>
      </c>
      <c r="X6" s="227">
        <f>IF(U6&lt;'ACELERADORES DE CUMPLIMIENTO'!$G$4,0,IF(U6&lt;'ACELERADORES DE CUMPLIMIENTO'!$G$6,'ACELERADORES DE CUMPLIMIENTO'!$H$5,IF(U6&lt;='ACELERADORES DE CUMPLIMIENTO'!$G$8,'ACELERADORES DE CUMPLIMIENTO'!$H$7,IF(U6&lt;='ACELERADORES DE CUMPLIMIENTO'!$G$11,'TABLA DE LIQUIDACION RV'!U6,IF(U6&lt;'ACELERADORES DE CUMPLIMIENTO'!$G$13,((('TABLA DE LIQUIDACION RV'!U6-1)*2)+1),IF(U6&lt;'ACELERADORES DE CUMPLIMIENTO'!$G$15,((('TABLA DE LIQUIDACION RV'!U6-1)*3)+1),190%))))))</f>
        <v>0</v>
      </c>
      <c r="Y6" s="159">
        <f t="shared" si="5"/>
        <v>9.5000000000000001E-2</v>
      </c>
      <c r="Z6" s="159">
        <f t="shared" si="6"/>
        <v>1.1327831152687704</v>
      </c>
      <c r="AA6" s="159">
        <f t="shared" si="7"/>
        <v>0</v>
      </c>
      <c r="AB6" s="236">
        <f>IFERROR(VLOOKUP(I6,COLABORADORES!$G$3:$I$60,3,0),0)</f>
        <v>519863.3726</v>
      </c>
      <c r="AC6" s="326">
        <f t="shared" si="8"/>
        <v>49387.020397</v>
      </c>
      <c r="AD6" s="326">
        <f t="shared" si="9"/>
        <v>588892.45072795753</v>
      </c>
      <c r="AE6" s="326">
        <f t="shared" si="10"/>
        <v>0</v>
      </c>
      <c r="AF6" s="326"/>
      <c r="AG6" s="252">
        <f t="shared" ref="AG6:AG19" si="11">SUM(AC6:AF6)</f>
        <v>638279.47112495755</v>
      </c>
    </row>
    <row r="7" spans="2:33" s="68" customFormat="1" ht="15.6" customHeight="1" x14ac:dyDescent="0.3">
      <c r="B7" s="116" t="str">
        <f>TRIM(E7)</f>
        <v>1307</v>
      </c>
      <c r="C7" s="116" t="s">
        <v>152</v>
      </c>
      <c r="D7" s="116" t="s">
        <v>152</v>
      </c>
      <c r="E7" s="166" t="s">
        <v>46</v>
      </c>
      <c r="F7" s="154" t="s">
        <v>39</v>
      </c>
      <c r="G7" s="169" t="str">
        <f>IFERROR(VLOOKUP(B7,COLABORADORES!$B$3:$J$60,3,0),"")</f>
        <v>CONSUMO</v>
      </c>
      <c r="H7" s="154" t="str">
        <f>IFERROR(VLOOKUP(E7,COLABORADORES!$B$3:$J$60,5,0),"")</f>
        <v>Vacante</v>
      </c>
      <c r="I7" s="341" t="str">
        <f>IFERROR(VLOOKUP(E7,COLABORADORES!$B$3:$J$60,6,0),"")</f>
        <v>N/A: VACANTE</v>
      </c>
      <c r="J7" s="161">
        <f>SUM(SUMIF('SOPORTE VENTAS'!$C:$C,E7,'SOPORTE VENTAS'!$N:$N))</f>
        <v>0</v>
      </c>
      <c r="K7" s="161">
        <f>SUM(SUMIF('SOPORTE VENTAS'!$C:$C,E7,'SOPORTE VENTAS'!$K:$K))</f>
        <v>0</v>
      </c>
      <c r="L7" s="162" t="str">
        <f t="shared" si="0"/>
        <v/>
      </c>
      <c r="M7" s="241">
        <f>SUMIF('SOPORTE VENTAS'!$C:$C,E7,'SOPORTE VENTAS'!$O:$O)</f>
        <v>0</v>
      </c>
      <c r="N7" s="653">
        <f>SUMIF('SOPORTE VENTAS'!$C:$C,E7,'SOPORTE VENTAS'!$L:$L)</f>
        <v>0</v>
      </c>
      <c r="O7" s="240" t="str">
        <f t="shared" si="1"/>
        <v/>
      </c>
      <c r="P7" s="155">
        <f>SUM(J7,M7)</f>
        <v>0</v>
      </c>
      <c r="Q7" s="155">
        <f t="shared" si="2"/>
        <v>0</v>
      </c>
      <c r="R7" s="157" t="str">
        <f t="shared" si="3"/>
        <v/>
      </c>
      <c r="S7" s="483">
        <f>(IFERROR(VLOOKUP(B7,'SOPORTE RECAUDOS'!$A$5:$E$27,5,0),0)/1000000)</f>
        <v>0</v>
      </c>
      <c r="T7" s="484">
        <f>(IFERROR(VLOOKUP(B7,'SOPORTE RECAUDOS'!$A$4:$H$27,8,0),0)/1000000)</f>
        <v>0</v>
      </c>
      <c r="U7" s="240">
        <f t="shared" si="4"/>
        <v>0</v>
      </c>
      <c r="V7" s="226">
        <f>IF(L7&lt;'ACELERADORES DE CUMPLIMIENTO'!$G$4,0,IF(L7&lt;'ACELERADORES DE CUMPLIMIENTO'!$G$6,'ACELERADORES DE CUMPLIMIENTO'!$H$5,IF(L7&lt;='ACELERADORES DE CUMPLIMIENTO'!$G$8,'ACELERADORES DE CUMPLIMIENTO'!$H$7,IF(L7&lt;='ACELERADORES DE CUMPLIMIENTO'!$G$11,'TABLA DE LIQUIDACION RV'!L7,IF(L7&lt;'ACELERADORES DE CUMPLIMIENTO'!$G$13,((('TABLA DE LIQUIDACION RV'!L7-1)*2)+1),IF(L7&lt;'ACELERADORES DE CUMPLIMIENTO'!$G$15,((('TABLA DE LIQUIDACION RV'!L7-1)*3)+1),190%))))))</f>
        <v>1.9</v>
      </c>
      <c r="W7" s="158">
        <f>IF(O7&lt;'ACELERADORES DE CUMPLIMIENTO'!$G$4,0,IF(O7&lt;'ACELERADORES DE CUMPLIMIENTO'!$G$6,'ACELERADORES DE CUMPLIMIENTO'!$H$5,IF(O7&lt;='ACELERADORES DE CUMPLIMIENTO'!$G$8,'ACELERADORES DE CUMPLIMIENTO'!$H$7,IF(O7&lt;='ACELERADORES DE CUMPLIMIENTO'!$G$11,'TABLA DE LIQUIDACION RV'!O7,IF(O7&lt;'ACELERADORES DE CUMPLIMIENTO'!$G$13,((('TABLA DE LIQUIDACION RV'!O7-1)*2)+1),IF(O7&lt;'ACELERADORES DE CUMPLIMIENTO'!$G$15,((('TABLA DE LIQUIDACION RV'!O7-1)*3)+1),190%))))))</f>
        <v>1.9</v>
      </c>
      <c r="X7" s="227">
        <f>IF(U7&lt;'ACELERADORES DE CUMPLIMIENTO'!$G$4,0,IF(U7&lt;'ACELERADORES DE CUMPLIMIENTO'!$G$6,'ACELERADORES DE CUMPLIMIENTO'!$H$5,IF(U7&lt;='ACELERADORES DE CUMPLIMIENTO'!$G$8,'ACELERADORES DE CUMPLIMIENTO'!$H$7,IF(U7&lt;='ACELERADORES DE CUMPLIMIENTO'!$G$11,'TABLA DE LIQUIDACION RV'!U7,IF(U7&lt;'ACELERADORES DE CUMPLIMIENTO'!$G$13,((('TABLA DE LIQUIDACION RV'!U7-1)*2)+1),IF(U7&lt;'ACELERADORES DE CUMPLIMIENTO'!$G$15,((('TABLA DE LIQUIDACION RV'!U7-1)*3)+1),190%))))))</f>
        <v>0</v>
      </c>
      <c r="Y7" s="159">
        <f t="shared" si="5"/>
        <v>9.5000000000000001E-2</v>
      </c>
      <c r="Z7" s="159">
        <f t="shared" si="6"/>
        <v>1.2349999999999999</v>
      </c>
      <c r="AA7" s="159">
        <f t="shared" si="7"/>
        <v>0</v>
      </c>
      <c r="AB7" s="236">
        <f>IFERROR(VLOOKUP(I7,COLABORADORES!$G$3:$I$60,3,0),0)</f>
        <v>0</v>
      </c>
      <c r="AC7" s="326">
        <f>$AB7*Y7</f>
        <v>0</v>
      </c>
      <c r="AD7" s="326">
        <f>$AB7*Z7</f>
        <v>0</v>
      </c>
      <c r="AE7" s="326">
        <f>$AB7*AA7</f>
        <v>0</v>
      </c>
      <c r="AF7" s="326"/>
      <c r="AG7" s="252">
        <f t="shared" si="11"/>
        <v>0</v>
      </c>
    </row>
    <row r="8" spans="2:33" s="145" customFormat="1" ht="15.6" customHeight="1" x14ac:dyDescent="0.3">
      <c r="B8" s="116" t="str">
        <f>TRIM(E8)</f>
        <v>1303</v>
      </c>
      <c r="C8" s="116" t="s">
        <v>152</v>
      </c>
      <c r="D8" s="144" t="s">
        <v>152</v>
      </c>
      <c r="E8" s="340" t="s">
        <v>42</v>
      </c>
      <c r="F8" s="154" t="str">
        <f>IFERROR(VLOOKUP(E8,COLABORADORES!$B$3:$J$60,2,0),"")</f>
        <v>BOGOTA CONSUMO</v>
      </c>
      <c r="G8" s="169" t="str">
        <f>IFERROR(VLOOKUP(B8,COLABORADORES!$B$3:$J$60,3,0),"")</f>
        <v>CONSUMO</v>
      </c>
      <c r="H8" s="154" t="str">
        <f>IFERROR(VLOOKUP(E8,COLABORADORES!$B$3:$J$60,5,0),"")</f>
        <v>Vacante</v>
      </c>
      <c r="I8" s="341" t="str">
        <f>IFERROR(VLOOKUP(E8,COLABORADORES!$B$3:$J$60,6,0),"")</f>
        <v>N/A: VACANTE</v>
      </c>
      <c r="J8" s="161">
        <f>SUM(SUMIF('SOPORTE VENTAS'!$C:$C,E8,'SOPORTE VENTAS'!$N:$N))</f>
        <v>74.577393608943396</v>
      </c>
      <c r="K8" s="161">
        <f>SUM(SUMIF('SOPORTE VENTAS'!$C:$C,E8,'SOPORTE VENTAS'!$K:$K))</f>
        <v>124.60115426999999</v>
      </c>
      <c r="L8" s="162">
        <f t="shared" si="0"/>
        <v>1.6707630588883666</v>
      </c>
      <c r="M8" s="241">
        <f>SUMIF('SOPORTE VENTAS'!$C:$C,E8,'SOPORTE VENTAS'!$O:$O)</f>
        <v>41.970525952911878</v>
      </c>
      <c r="N8" s="653">
        <f>SUMIF('SOPORTE VENTAS'!$C:$C,E8,'SOPORTE VENTAS'!$L:$L)</f>
        <v>50.446805536576811</v>
      </c>
      <c r="O8" s="240">
        <f>IFERROR(N8/M8,"")</f>
        <v>1.2019579071554822</v>
      </c>
      <c r="P8" s="161"/>
      <c r="Q8" s="161"/>
      <c r="R8" s="163"/>
      <c r="S8" s="483">
        <f>(IFERROR(VLOOKUP(B8,'SOPORTE RECAUDOS'!$A$5:$E$27,5,0),0)/1000000)</f>
        <v>32.549635000000002</v>
      </c>
      <c r="T8" s="484">
        <f>(IFERROR(VLOOKUP(B8,'SOPORTE RECAUDOS'!$A$4:$H$27,8,0),0)/1000000)</f>
        <v>122.110421</v>
      </c>
      <c r="U8" s="240">
        <f>IFERROR(T8/S8,0)</f>
        <v>3.7515142950143678</v>
      </c>
      <c r="V8" s="228">
        <f>IF(L8&lt;'ACELERADORES DE CUMPLIMIENTO'!$G$4,0,IF(L8&lt;'ACELERADORES DE CUMPLIMIENTO'!$G$6,'ACELERADORES DE CUMPLIMIENTO'!$H$5,IF(L8&lt;='ACELERADORES DE CUMPLIMIENTO'!$G$8,'ACELERADORES DE CUMPLIMIENTO'!$H$7,IF(L8&lt;='ACELERADORES DE CUMPLIMIENTO'!$G$11,'TABLA DE LIQUIDACION RV'!L8,IF(L8&lt;'ACELERADORES DE CUMPLIMIENTO'!$G$13,((('TABLA DE LIQUIDACION RV'!L8-1)*2)+1),IF(L8&lt;'ACELERADORES DE CUMPLIMIENTO'!$G$15,((('TABLA DE LIQUIDACION RV'!L8-1)*3)+1),190%))))))</f>
        <v>1.9</v>
      </c>
      <c r="W8" s="164">
        <f>IF(O8&lt;'ACELERADORES DE CUMPLIMIENTO'!$G$4,0,IF(O8&lt;'ACELERADORES DE CUMPLIMIENTO'!$G$6,'ACELERADORES DE CUMPLIMIENTO'!$H$5,IF(O8&lt;='ACELERADORES DE CUMPLIMIENTO'!$G$8,'ACELERADORES DE CUMPLIMIENTO'!$H$7,IF(O8&lt;='ACELERADORES DE CUMPLIMIENTO'!$G$11,'TABLA DE LIQUIDACION RV'!O8,IF(O8&lt;'ACELERADORES DE CUMPLIMIENTO'!$G$13,((('TABLA DE LIQUIDACION RV'!O8-1)*2)+1),IF(O8&lt;'ACELERADORES DE CUMPLIMIENTO'!$G$15,((('TABLA DE LIQUIDACION RV'!O8-1)*3)+1),190%))))))</f>
        <v>1.6058737214664467</v>
      </c>
      <c r="X8" s="229">
        <f>IF(U8&lt;'ACELERADORES DE CUMPLIMIENTO'!$G$4,0,IF(U8&lt;'ACELERADORES DE CUMPLIMIENTO'!$G$6,'ACELERADORES DE CUMPLIMIENTO'!$H$5,IF(U8&lt;='ACELERADORES DE CUMPLIMIENTO'!$G$8,'ACELERADORES DE CUMPLIMIENTO'!$H$7,IF(U8&lt;='ACELERADORES DE CUMPLIMIENTO'!$G$11,'TABLA DE LIQUIDACION RV'!U8,IF(U8&lt;'ACELERADORES DE CUMPLIMIENTO'!$G$13,((('TABLA DE LIQUIDACION RV'!U8-1)*2)+1),IF(U8&lt;'ACELERADORES DE CUMPLIMIENTO'!$G$15,((('TABLA DE LIQUIDACION RV'!U8-1)*3)+1),190%))))))</f>
        <v>1.9</v>
      </c>
      <c r="Y8" s="159">
        <f t="shared" si="5"/>
        <v>9.5000000000000001E-2</v>
      </c>
      <c r="Z8" s="159">
        <f t="shared" si="6"/>
        <v>1.0438179189531904</v>
      </c>
      <c r="AA8" s="159">
        <f t="shared" si="7"/>
        <v>0.56999999999999995</v>
      </c>
      <c r="AB8" s="237">
        <f>IFERROR(VLOOKUP(I8,COLABORADORES!$G$3:$I$60,3,0),0)</f>
        <v>0</v>
      </c>
      <c r="AC8" s="165">
        <f t="shared" ref="AC8:AE9" si="12">$AB8*Y8</f>
        <v>0</v>
      </c>
      <c r="AD8" s="165">
        <f t="shared" si="12"/>
        <v>0</v>
      </c>
      <c r="AE8" s="165">
        <f t="shared" si="12"/>
        <v>0</v>
      </c>
      <c r="AF8" s="165"/>
      <c r="AG8" s="252">
        <f t="shared" si="11"/>
        <v>0</v>
      </c>
    </row>
    <row r="9" spans="2:33" s="145" customFormat="1" ht="15.6" customHeight="1" x14ac:dyDescent="0.3">
      <c r="B9" s="116" t="str">
        <f t="shared" ref="B9:B27" si="13">TRIM(E9)</f>
        <v>1401</v>
      </c>
      <c r="C9" s="116" t="s">
        <v>152</v>
      </c>
      <c r="D9" s="116" t="s">
        <v>152</v>
      </c>
      <c r="E9" s="166" t="s">
        <v>34</v>
      </c>
      <c r="F9" s="154" t="s">
        <v>149</v>
      </c>
      <c r="G9" s="169" t="str">
        <f>IFERROR(VLOOKUP(B9,COLABORADORES!$B$3:$J$60,3,0),"")</f>
        <v>CONSUMO</v>
      </c>
      <c r="H9" s="154" t="str">
        <f>IFERROR(VLOOKUP(E9,COLABORADORES!$B$3:$J$60,5,0),"")</f>
        <v>BARRAGAN RAMIREZ GLORIA ASTRID</v>
      </c>
      <c r="I9" s="341">
        <f>IFERROR(VLOOKUP(E9,COLABORADORES!$B$3:$J$60,6,0),"")</f>
        <v>52019354</v>
      </c>
      <c r="J9" s="161">
        <f>SUM(SUMIF('SOPORTE VENTAS'!$C:$C,E9,'SOPORTE VENTAS'!$N:$N))</f>
        <v>33.845570253914602</v>
      </c>
      <c r="K9" s="161">
        <f>SUM(SUMIF('SOPORTE VENTAS'!$C:$C,E9,'SOPORTE VENTAS'!$K:$K))</f>
        <v>53.345517593999993</v>
      </c>
      <c r="L9" s="162">
        <f>IFERROR(K9/J9,"")</f>
        <v>1.576144741949798</v>
      </c>
      <c r="M9" s="241">
        <f>SUMIF('SOPORTE VENTAS'!$C:$C,E9,'SOPORTE VENTAS'!$O:$O)</f>
        <v>117.38083148851311</v>
      </c>
      <c r="N9" s="653">
        <f>SUMIF('SOPORTE VENTAS'!$C:$C,E9,'SOPORTE VENTAS'!$L:$L)</f>
        <v>132.77712079457601</v>
      </c>
      <c r="O9" s="240">
        <f>IFERROR(N9/M9,"")</f>
        <v>1.1311652772503114</v>
      </c>
      <c r="P9" s="155">
        <f>SUM(J9,M9)</f>
        <v>151.2264017424277</v>
      </c>
      <c r="Q9" s="155">
        <f>SUM(K9,N9)</f>
        <v>186.12263838857601</v>
      </c>
      <c r="R9" s="157">
        <f>IFERROR(Q9/P9,"")</f>
        <v>1.2307549227124004</v>
      </c>
      <c r="S9" s="483">
        <f>(IFERROR(VLOOKUP(B9,'SOPORTE RECAUDOS'!$A$5:$E$27,5,0),0)/1000000)</f>
        <v>143.57073700000001</v>
      </c>
      <c r="T9" s="484">
        <f>(IFERROR(VLOOKUP(B9,'SOPORTE RECAUDOS'!$A$4:$H$27,8,0),0)/1000000)</f>
        <v>217.077924</v>
      </c>
      <c r="U9" s="240">
        <f>IFERROR(T9/S9,0)</f>
        <v>1.5119928234400579</v>
      </c>
      <c r="V9" s="226">
        <f>IF(L9&lt;'ACELERADORES DE CUMPLIMIENTO'!$G$4,0,IF(L9&lt;'ACELERADORES DE CUMPLIMIENTO'!$G$6,'ACELERADORES DE CUMPLIMIENTO'!$H$5,IF(L9&lt;='ACELERADORES DE CUMPLIMIENTO'!$G$8,'ACELERADORES DE CUMPLIMIENTO'!$H$7,IF(L9&lt;='ACELERADORES DE CUMPLIMIENTO'!$G$11,'TABLA DE LIQUIDACION RV'!L9,IF(L9&lt;'ACELERADORES DE CUMPLIMIENTO'!$G$13,((('TABLA DE LIQUIDACION RV'!L9-1)*2)+1),IF(L9&lt;'ACELERADORES DE CUMPLIMIENTO'!$G$15,((('TABLA DE LIQUIDACION RV'!L9-1)*3)+1),190%))))))</f>
        <v>1.9</v>
      </c>
      <c r="W9" s="158">
        <f>IF(O9&lt;'ACELERADORES DE CUMPLIMIENTO'!$G$4,0,IF(O9&lt;'ACELERADORES DE CUMPLIMIENTO'!$G$6,'ACELERADORES DE CUMPLIMIENTO'!$H$5,IF(O9&lt;='ACELERADORES DE CUMPLIMIENTO'!$G$8,'ACELERADORES DE CUMPLIMIENTO'!$H$7,IF(O9&lt;='ACELERADORES DE CUMPLIMIENTO'!$G$11,'TABLA DE LIQUIDACION RV'!O9,IF(O9&lt;'ACELERADORES DE CUMPLIMIENTO'!$G$13,((('TABLA DE LIQUIDACION RV'!O9-1)*2)+1),IF(O9&lt;'ACELERADORES DE CUMPLIMIENTO'!$G$15,((('TABLA DE LIQUIDACION RV'!O9-1)*3)+1),190%))))))</f>
        <v>1.3934958317509341</v>
      </c>
      <c r="X9" s="227">
        <f>IF(U9&lt;'ACELERADORES DE CUMPLIMIENTO'!$G$4,0,IF(U9&lt;'ACELERADORES DE CUMPLIMIENTO'!$G$6,'ACELERADORES DE CUMPLIMIENTO'!$H$5,IF(U9&lt;='ACELERADORES DE CUMPLIMIENTO'!$G$8,'ACELERADORES DE CUMPLIMIENTO'!$H$7,IF(U9&lt;='ACELERADORES DE CUMPLIMIENTO'!$G$11,'TABLA DE LIQUIDACION RV'!U9,IF(U9&lt;'ACELERADORES DE CUMPLIMIENTO'!$G$13,((('TABLA DE LIQUIDACION RV'!U9-1)*2)+1),IF(U9&lt;'ACELERADORES DE CUMPLIMIENTO'!$G$15,((('TABLA DE LIQUIDACION RV'!U9-1)*3)+1),190%))))))</f>
        <v>1.9</v>
      </c>
      <c r="Y9" s="159">
        <f>IF(G9="CONSUMO",V9*$Y$3,V9*$Y$4)</f>
        <v>9.5000000000000001E-2</v>
      </c>
      <c r="Z9" s="159">
        <f>IF(G9="CONSUMO",W9*$Z$3,W9*$Z$4)</f>
        <v>0.90577229063810716</v>
      </c>
      <c r="AA9" s="159">
        <f>IF(G9="CONSUMO",X9*$AA$3,X9*$AA$4)</f>
        <v>0.56999999999999995</v>
      </c>
      <c r="AB9" s="236">
        <f>IFERROR(VLOOKUP(I9,COLABORADORES!$G$3:$I$60,3,0),0)</f>
        <v>810002.16</v>
      </c>
      <c r="AC9" s="326">
        <f t="shared" si="12"/>
        <v>76950.205200000011</v>
      </c>
      <c r="AD9" s="326">
        <f t="shared" si="12"/>
        <v>733677.5118850146</v>
      </c>
      <c r="AE9" s="326">
        <f t="shared" si="12"/>
        <v>461701.23119999998</v>
      </c>
      <c r="AF9" s="326"/>
      <c r="AG9" s="252">
        <f>SUM(AC9:AF9)</f>
        <v>1272328.9482850146</v>
      </c>
    </row>
    <row r="10" spans="2:33" s="68" customFormat="1" ht="15.6" customHeight="1" x14ac:dyDescent="0.3">
      <c r="B10" s="116" t="str">
        <f t="shared" si="13"/>
        <v>2101</v>
      </c>
      <c r="C10" s="116" t="s">
        <v>152</v>
      </c>
      <c r="D10" s="116" t="s">
        <v>174</v>
      </c>
      <c r="E10" s="166" t="s">
        <v>26</v>
      </c>
      <c r="F10" s="154" t="s">
        <v>148</v>
      </c>
      <c r="G10" s="169" t="str">
        <f>IFERROR(VLOOKUP(B10,COLABORADORES!$B$3:$J$60,3,0),"")</f>
        <v>PANADERIA</v>
      </c>
      <c r="H10" s="154" t="str">
        <f>IFERROR(VLOOKUP(E10,COLABORADORES!$B$3:$J$60,5,0),"")</f>
        <v>TANGARIFE BAUTISTA NATALI</v>
      </c>
      <c r="I10" s="341">
        <f>IFERROR(VLOOKUP(E10,COLABORADORES!$B$3:$J$60,6,0),"")</f>
        <v>1070956306</v>
      </c>
      <c r="J10" s="155">
        <f>SUM(SUMIF('SOPORTE VENTAS'!$C:$C,E10,'SOPORTE VENTAS'!$N:$N))</f>
        <v>21.793562444096001</v>
      </c>
      <c r="K10" s="155">
        <f>SUM(SUMIF('SOPORTE VENTAS'!$C:$C,E10,'SOPORTE VENTAS'!$K:$K))</f>
        <v>30.504689060000004</v>
      </c>
      <c r="L10" s="156">
        <f t="shared" si="0"/>
        <v>1.3997109989818988</v>
      </c>
      <c r="M10" s="222">
        <f>SUMIF('SOPORTE VENTAS'!$C:$C,E10,'SOPORTE VENTAS'!$O:$O)</f>
        <v>238.90872341751762</v>
      </c>
      <c r="N10" s="654">
        <f>SUMIF('SOPORTE VENTAS'!$C:$C,E10,'SOPORTE VENTAS'!$L:$L)</f>
        <v>297.88036609</v>
      </c>
      <c r="O10" s="239">
        <f t="shared" si="1"/>
        <v>1.2468375446024353</v>
      </c>
      <c r="P10" s="155">
        <f t="shared" ref="P10:P19" si="14">SUM(J10,M10)</f>
        <v>260.70228586161363</v>
      </c>
      <c r="Q10" s="155">
        <f t="shared" si="2"/>
        <v>328.38505514999997</v>
      </c>
      <c r="R10" s="157">
        <f t="shared" si="3"/>
        <v>1.2596170918283156</v>
      </c>
      <c r="S10" s="483">
        <f>(IFERROR(VLOOKUP(B10,'SOPORTE RECAUDOS'!$A$5:$E$27,5,0),0)/1000000)</f>
        <v>244.25528199999999</v>
      </c>
      <c r="T10" s="484">
        <f>(IFERROR(VLOOKUP(B10,'SOPORTE RECAUDOS'!$A$4:$H$27,8,0),0)/1000000)</f>
        <v>413.17262099999999</v>
      </c>
      <c r="U10" s="240">
        <f t="shared" si="4"/>
        <v>1.6915606394133167</v>
      </c>
      <c r="V10" s="226">
        <f>IF(L10&lt;'ACELERADORES DE CUMPLIMIENTO'!$G$4,0,IF(L10&lt;'ACELERADORES DE CUMPLIMIENTO'!$G$6,'ACELERADORES DE CUMPLIMIENTO'!$H$5,IF(L10&lt;='ACELERADORES DE CUMPLIMIENTO'!$G$8,'ACELERADORES DE CUMPLIMIENTO'!$H$7,IF(L10&lt;='ACELERADORES DE CUMPLIMIENTO'!$G$11,'TABLA DE LIQUIDACION RV'!L10,IF(L10&lt;'ACELERADORES DE CUMPLIMIENTO'!$G$13,((('TABLA DE LIQUIDACION RV'!L10-1)*2)+1),IF(L10&lt;'ACELERADORES DE CUMPLIMIENTO'!$G$15,((('TABLA DE LIQUIDACION RV'!L10-1)*3)+1),190%))))))</f>
        <v>1.9</v>
      </c>
      <c r="W10" s="158">
        <f>IF(O10&lt;'ACELERADORES DE CUMPLIMIENTO'!$G$4,0,IF(O10&lt;'ACELERADORES DE CUMPLIMIENTO'!$G$6,'ACELERADORES DE CUMPLIMIENTO'!$H$5,IF(O10&lt;='ACELERADORES DE CUMPLIMIENTO'!$G$8,'ACELERADORES DE CUMPLIMIENTO'!$H$7,IF(O10&lt;='ACELERADORES DE CUMPLIMIENTO'!$G$11,'TABLA DE LIQUIDACION RV'!O10,IF(O10&lt;'ACELERADORES DE CUMPLIMIENTO'!$G$13,((('TABLA DE LIQUIDACION RV'!O10-1)*2)+1),IF(O10&lt;'ACELERADORES DE CUMPLIMIENTO'!$G$15,((('TABLA DE LIQUIDACION RV'!O10-1)*3)+1),190%))))))</f>
        <v>1.740512633807306</v>
      </c>
      <c r="X10" s="227">
        <f>IF(U10&lt;'ACELERADORES DE CUMPLIMIENTO'!$G$4,0,IF(U10&lt;'ACELERADORES DE CUMPLIMIENTO'!$G$6,'ACELERADORES DE CUMPLIMIENTO'!$H$5,IF(U10&lt;='ACELERADORES DE CUMPLIMIENTO'!$G$8,'ACELERADORES DE CUMPLIMIENTO'!$H$7,IF(U10&lt;='ACELERADORES DE CUMPLIMIENTO'!$G$11,'TABLA DE LIQUIDACION RV'!U10,IF(U10&lt;'ACELERADORES DE CUMPLIMIENTO'!$G$13,((('TABLA DE LIQUIDACION RV'!U10-1)*2)+1),IF(U10&lt;'ACELERADORES DE CUMPLIMIENTO'!$G$15,((('TABLA DE LIQUIDACION RV'!U10-1)*3)+1),190%))))))</f>
        <v>1.9</v>
      </c>
      <c r="Y10" s="159">
        <f t="shared" si="5"/>
        <v>0</v>
      </c>
      <c r="Z10" s="159">
        <f t="shared" si="6"/>
        <v>1.218358843665114</v>
      </c>
      <c r="AA10" s="159">
        <f t="shared" si="7"/>
        <v>0.56999999999999995</v>
      </c>
      <c r="AB10" s="236">
        <f>IFERROR(VLOOKUP(I10,COLABORADORES!$G$3:$I$60,3,0),0)</f>
        <v>505000</v>
      </c>
      <c r="AC10" s="326">
        <f>$AB10*Y10</f>
        <v>0</v>
      </c>
      <c r="AD10" s="326">
        <f t="shared" si="9"/>
        <v>615271.21605088259</v>
      </c>
      <c r="AE10" s="326">
        <f t="shared" si="10"/>
        <v>287850</v>
      </c>
      <c r="AF10" s="326"/>
      <c r="AG10" s="252">
        <f t="shared" si="11"/>
        <v>903121.21605088259</v>
      </c>
    </row>
    <row r="11" spans="2:33" s="68" customFormat="1" ht="15.6" customHeight="1" x14ac:dyDescent="0.3">
      <c r="B11" s="116" t="str">
        <f t="shared" si="13"/>
        <v>2103</v>
      </c>
      <c r="C11" s="116" t="s">
        <v>152</v>
      </c>
      <c r="D11" s="116" t="s">
        <v>174</v>
      </c>
      <c r="E11" s="166" t="s">
        <v>28</v>
      </c>
      <c r="F11" s="154" t="s">
        <v>148</v>
      </c>
      <c r="G11" s="169" t="str">
        <f>IFERROR(VLOOKUP(B11,COLABORADORES!$B$3:$J$60,3,0),"")</f>
        <v>PANADERIA</v>
      </c>
      <c r="H11" s="154" t="str">
        <f>IFERROR(VLOOKUP(E11,COLABORADORES!$B$3:$J$60,5,0),"")</f>
        <v>Licitaciones</v>
      </c>
      <c r="I11" s="341" t="str">
        <f>IFERROR(VLOOKUP(E11,COLABORADORES!$B$3:$J$60,6,0),"")</f>
        <v>N/A: VACANTE</v>
      </c>
      <c r="J11" s="161">
        <f>SUM(SUMIF('SOPORTE VENTAS'!$C:$C,E11,'SOPORTE VENTAS'!$N:$N))</f>
        <v>21.656033334539998</v>
      </c>
      <c r="K11" s="161">
        <f>SUM(SUMIF('SOPORTE VENTAS'!$C:$C,E11,'SOPORTE VENTAS'!$K:$K))</f>
        <v>12.227111163</v>
      </c>
      <c r="L11" s="162">
        <f t="shared" si="0"/>
        <v>0.5646052983996166</v>
      </c>
      <c r="M11" s="241">
        <f>SUMIF('SOPORTE VENTAS'!$C:$C,E11,'SOPORTE VENTAS'!$O:$O)</f>
        <v>201.37895500000002</v>
      </c>
      <c r="N11" s="653">
        <f>SUMIF('SOPORTE VENTAS'!$C:$C,E11,'SOPORTE VENTAS'!$L:$L)</f>
        <v>159.49970900000002</v>
      </c>
      <c r="O11" s="240">
        <f t="shared" si="1"/>
        <v>0.79203762379241671</v>
      </c>
      <c r="P11" s="155">
        <f t="shared" si="14"/>
        <v>223.03498833454</v>
      </c>
      <c r="Q11" s="155">
        <f t="shared" si="2"/>
        <v>171.72682016300001</v>
      </c>
      <c r="R11" s="157">
        <f t="shared" si="3"/>
        <v>0.76995462212152732</v>
      </c>
      <c r="S11" s="483">
        <f>(IFERROR(VLOOKUP(B11,'SOPORTE RECAUDOS'!$A$5:$E$27,5,0),0)/1000000)</f>
        <v>493.05611800000003</v>
      </c>
      <c r="T11" s="484">
        <f>(IFERROR(VLOOKUP(B11,'SOPORTE RECAUDOS'!$A$4:$H$27,8,0),0)/1000000)</f>
        <v>547.08400800000004</v>
      </c>
      <c r="U11" s="240">
        <f t="shared" si="4"/>
        <v>1.1095775673956854</v>
      </c>
      <c r="V11" s="226">
        <f>IF(L11&lt;'ACELERADORES DE CUMPLIMIENTO'!$G$4,0,IF(L11&lt;'ACELERADORES DE CUMPLIMIENTO'!$G$6,'ACELERADORES DE CUMPLIMIENTO'!$H$5,IF(L11&lt;='ACELERADORES DE CUMPLIMIENTO'!$G$8,'ACELERADORES DE CUMPLIMIENTO'!$H$7,IF(L11&lt;='ACELERADORES DE CUMPLIMIENTO'!$G$11,'TABLA DE LIQUIDACION RV'!L11,IF(L11&lt;'ACELERADORES DE CUMPLIMIENTO'!$G$13,((('TABLA DE LIQUIDACION RV'!L11-1)*2)+1),IF(L11&lt;'ACELERADORES DE CUMPLIMIENTO'!$G$15,((('TABLA DE LIQUIDACION RV'!L11-1)*3)+1),190%))))))</f>
        <v>0</v>
      </c>
      <c r="W11" s="158">
        <f>IF(O11&lt;'ACELERADORES DE CUMPLIMIENTO'!$G$4,0,IF(O11&lt;'ACELERADORES DE CUMPLIMIENTO'!$G$6,'ACELERADORES DE CUMPLIMIENTO'!$H$5,IF(O11&lt;='ACELERADORES DE CUMPLIMIENTO'!$G$8,'ACELERADORES DE CUMPLIMIENTO'!$H$7,IF(O11&lt;='ACELERADORES DE CUMPLIMIENTO'!$G$11,'TABLA DE LIQUIDACION RV'!O11,IF(O11&lt;'ACELERADORES DE CUMPLIMIENTO'!$G$13,((('TABLA DE LIQUIDACION RV'!O11-1)*2)+1),IF(O11&lt;'ACELERADORES DE CUMPLIMIENTO'!$G$15,((('TABLA DE LIQUIDACION RV'!O11-1)*3)+1),190%))))))</f>
        <v>0</v>
      </c>
      <c r="X11" s="227">
        <f>IF(U11&lt;'ACELERADORES DE CUMPLIMIENTO'!$G$4,0,IF(U11&lt;'ACELERADORES DE CUMPLIMIENTO'!$G$6,'ACELERADORES DE CUMPLIMIENTO'!$H$5,IF(U11&lt;='ACELERADORES DE CUMPLIMIENTO'!$G$8,'ACELERADORES DE CUMPLIMIENTO'!$H$7,IF(U11&lt;='ACELERADORES DE CUMPLIMIENTO'!$G$11,'TABLA DE LIQUIDACION RV'!U11,IF(U11&lt;'ACELERADORES DE CUMPLIMIENTO'!$G$13,((('TABLA DE LIQUIDACION RV'!U11-1)*2)+1),IF(U11&lt;'ACELERADORES DE CUMPLIMIENTO'!$G$15,((('TABLA DE LIQUIDACION RV'!U11-1)*3)+1),190%))))))</f>
        <v>1.2191551347913707</v>
      </c>
      <c r="Y11" s="159">
        <f t="shared" si="5"/>
        <v>0</v>
      </c>
      <c r="Z11" s="159">
        <f t="shared" si="6"/>
        <v>0</v>
      </c>
      <c r="AA11" s="159">
        <f t="shared" si="7"/>
        <v>0.36574654043741123</v>
      </c>
      <c r="AB11" s="236">
        <f>IFERROR(VLOOKUP(I11,COLABORADORES!$G$3:$I$60,3,0),0)</f>
        <v>0</v>
      </c>
      <c r="AC11" s="326">
        <f t="shared" si="8"/>
        <v>0</v>
      </c>
      <c r="AD11" s="326">
        <f t="shared" si="9"/>
        <v>0</v>
      </c>
      <c r="AE11" s="326">
        <f t="shared" si="10"/>
        <v>0</v>
      </c>
      <c r="AF11" s="326"/>
      <c r="AG11" s="252">
        <f t="shared" si="11"/>
        <v>0</v>
      </c>
    </row>
    <row r="12" spans="2:33" s="68" customFormat="1" ht="15.6" customHeight="1" x14ac:dyDescent="0.3">
      <c r="B12" s="116" t="str">
        <f t="shared" si="13"/>
        <v>2104</v>
      </c>
      <c r="C12" s="116" t="s">
        <v>152</v>
      </c>
      <c r="D12" s="116" t="s">
        <v>174</v>
      </c>
      <c r="E12" s="166" t="s">
        <v>30</v>
      </c>
      <c r="F12" s="154" t="s">
        <v>148</v>
      </c>
      <c r="G12" s="169" t="str">
        <f>IFERROR(VLOOKUP(B12,COLABORADORES!$B$3:$J$60,3,0),"")</f>
        <v>PANADERIA</v>
      </c>
      <c r="H12" s="154" t="str">
        <f>IFERROR(VLOOKUP(E12,COLABORADORES!$B$3:$J$60,5,0),"")</f>
        <v>OCHOA TELLEZ YILFER ERNESTO</v>
      </c>
      <c r="I12" s="341">
        <f>IFERROR(VLOOKUP(E12,COLABORADORES!$B$3:$J$60,6,0),"")</f>
        <v>80768198</v>
      </c>
      <c r="J12" s="161">
        <f>SUM(SUMIF('SOPORTE VENTAS'!$C:$C,E12,'SOPORTE VENTAS'!$N:$N))</f>
        <v>4.5386303723803998</v>
      </c>
      <c r="K12" s="161">
        <f>SUM(SUMIF('SOPORTE VENTAS'!$C:$C,E12,'SOPORTE VENTAS'!$K:$K))</f>
        <v>8.4706396000000002</v>
      </c>
      <c r="L12" s="162">
        <f t="shared" si="0"/>
        <v>1.8663426860111012</v>
      </c>
      <c r="M12" s="241">
        <f>SUMIF('SOPORTE VENTAS'!$C:$C,E12,'SOPORTE VENTAS'!$O:$O)</f>
        <v>633.5121871941983</v>
      </c>
      <c r="N12" s="653">
        <f>SUMIF('SOPORTE VENTAS'!$C:$C,E12,'SOPORTE VENTAS'!$L:$L)</f>
        <v>512.2844262835996</v>
      </c>
      <c r="O12" s="240">
        <f>IFERROR(N12/M12,"")</f>
        <v>0.80864178564975697</v>
      </c>
      <c r="P12" s="155">
        <f t="shared" si="14"/>
        <v>638.05081756657876</v>
      </c>
      <c r="Q12" s="155">
        <f t="shared" si="2"/>
        <v>520.75506588359963</v>
      </c>
      <c r="R12" s="157">
        <f t="shared" si="3"/>
        <v>0.81616550209852268</v>
      </c>
      <c r="S12" s="483">
        <f>(IFERROR(VLOOKUP(B12,'SOPORTE RECAUDOS'!$A$5:$E$27,5,0),0)/1000000)</f>
        <v>329.80500499999999</v>
      </c>
      <c r="T12" s="484">
        <f>(IFERROR(VLOOKUP(B12,'SOPORTE RECAUDOS'!$A$4:$H$27,8,0),0)/1000000)</f>
        <v>628.14318100000003</v>
      </c>
      <c r="U12" s="240">
        <f t="shared" si="4"/>
        <v>1.904589595297379</v>
      </c>
      <c r="V12" s="226">
        <f>IF(L12&lt;'ACELERADORES DE CUMPLIMIENTO'!$G$4,0,IF(L12&lt;'ACELERADORES DE CUMPLIMIENTO'!$G$6,'ACELERADORES DE CUMPLIMIENTO'!$H$5,IF(L12&lt;='ACELERADORES DE CUMPLIMIENTO'!$G$8,'ACELERADORES DE CUMPLIMIENTO'!$H$7,IF(L12&lt;='ACELERADORES DE CUMPLIMIENTO'!$G$11,'TABLA DE LIQUIDACION RV'!L12,IF(L12&lt;'ACELERADORES DE CUMPLIMIENTO'!$G$13,((('TABLA DE LIQUIDACION RV'!L12-1)*2)+1),IF(L12&lt;'ACELERADORES DE CUMPLIMIENTO'!$G$15,((('TABLA DE LIQUIDACION RV'!L12-1)*3)+1),190%))))))</f>
        <v>1.9</v>
      </c>
      <c r="W12" s="158">
        <f>IF(O12&lt;'ACELERADORES DE CUMPLIMIENTO'!$G$4,0,IF(O12&lt;'ACELERADORES DE CUMPLIMIENTO'!$G$6,'ACELERADORES DE CUMPLIMIENTO'!$H$5,IF(O12&lt;='ACELERADORES DE CUMPLIMIENTO'!$G$8,'ACELERADORES DE CUMPLIMIENTO'!$H$7,IF(O12&lt;='ACELERADORES DE CUMPLIMIENTO'!$G$11,'TABLA DE LIQUIDACION RV'!O12,IF(O12&lt;'ACELERADORES DE CUMPLIMIENTO'!$G$13,((('TABLA DE LIQUIDACION RV'!O12-1)*2)+1),IF(O12&lt;'ACELERADORES DE CUMPLIMIENTO'!$G$15,((('TABLA DE LIQUIDACION RV'!O12-1)*3)+1),190%))))))</f>
        <v>0</v>
      </c>
      <c r="X12" s="227">
        <f>IF(U12&lt;'ACELERADORES DE CUMPLIMIENTO'!$G$4,0,IF(U12&lt;'ACELERADORES DE CUMPLIMIENTO'!$G$6,'ACELERADORES DE CUMPLIMIENTO'!$H$5,IF(U12&lt;='ACELERADORES DE CUMPLIMIENTO'!$G$8,'ACELERADORES DE CUMPLIMIENTO'!$H$7,IF(U12&lt;='ACELERADORES DE CUMPLIMIENTO'!$G$11,'TABLA DE LIQUIDACION RV'!U12,IF(U12&lt;'ACELERADORES DE CUMPLIMIENTO'!$G$13,((('TABLA DE LIQUIDACION RV'!U12-1)*2)+1),IF(U12&lt;'ACELERADORES DE CUMPLIMIENTO'!$G$15,((('TABLA DE LIQUIDACION RV'!U12-1)*3)+1),190%))))))</f>
        <v>1.9</v>
      </c>
      <c r="Y12" s="159">
        <f t="shared" si="5"/>
        <v>0</v>
      </c>
      <c r="Z12" s="159">
        <f t="shared" si="6"/>
        <v>0</v>
      </c>
      <c r="AA12" s="159">
        <f t="shared" si="7"/>
        <v>0.56999999999999995</v>
      </c>
      <c r="AB12" s="236">
        <f>IFERROR(VLOOKUP(I12,COLABORADORES!$G$3:$I$60,3,0),0)</f>
        <v>505000</v>
      </c>
      <c r="AC12" s="326">
        <f>$AB12*Y12</f>
        <v>0</v>
      </c>
      <c r="AD12" s="326">
        <f t="shared" si="9"/>
        <v>0</v>
      </c>
      <c r="AE12" s="326">
        <f>$AB12*AA12</f>
        <v>287850</v>
      </c>
      <c r="AF12" s="326"/>
      <c r="AG12" s="252">
        <f t="shared" si="11"/>
        <v>287850</v>
      </c>
    </row>
    <row r="13" spans="2:33" s="68" customFormat="1" ht="15.6" customHeight="1" x14ac:dyDescent="0.3">
      <c r="B13" s="116" t="str">
        <f t="shared" si="13"/>
        <v>2102</v>
      </c>
      <c r="C13" s="116" t="s">
        <v>152</v>
      </c>
      <c r="D13" s="116" t="s">
        <v>174</v>
      </c>
      <c r="E13" s="166" t="s">
        <v>27</v>
      </c>
      <c r="F13" s="154" t="str">
        <f>IFERROR(VLOOKUP(E13,COLABORADORES!$B$3:$J$60,2,0),"")</f>
        <v>BOGOTA MARGARINAS</v>
      </c>
      <c r="G13" s="169" t="str">
        <f>IFERROR(VLOOKUP(B13,COLABORADORES!$B$3:$J$60,3,0),"")</f>
        <v>PANADERIA</v>
      </c>
      <c r="H13" s="154" t="str">
        <f>IFERROR(VLOOKUP(E13,COLABORADORES!$B$3:$J$60,5,0),"")</f>
        <v>LOPEZ LOPEZ MARTHA SIRLEY</v>
      </c>
      <c r="I13" s="341">
        <f>IFERROR(VLOOKUP(E13,COLABORADORES!$B$3:$J$60,6,0),"")</f>
        <v>1033717712</v>
      </c>
      <c r="J13" s="330">
        <f>SUM(SUMIF('SOPORTE VENTAS'!$C:$C,E13,'SOPORTE VENTAS'!$N:$N))</f>
        <v>3.2049356537500002</v>
      </c>
      <c r="K13" s="330">
        <f>SUM(SUMIF('SOPORTE VENTAS'!$C:$C,E13,'SOPORTE VENTAS'!$K:$K))</f>
        <v>4.2305151900000002</v>
      </c>
      <c r="L13" s="162">
        <f t="shared" si="0"/>
        <v>1.3200000396419815</v>
      </c>
      <c r="M13" s="241">
        <f>SUMIF('SOPORTE VENTAS'!$C:$C,E13,'SOPORTE VENTAS'!$O:$O)</f>
        <v>984.42445106481694</v>
      </c>
      <c r="N13" s="653">
        <f>SUMIF('SOPORTE VENTAS'!$C:$C,E13,'SOPORTE VENTAS'!$L:$L)</f>
        <v>1292.9390580148008</v>
      </c>
      <c r="O13" s="240">
        <f>IFERROR(N13/M13,"")</f>
        <v>1.313395920444961</v>
      </c>
      <c r="P13" s="330">
        <f>SUM(J13,M13)</f>
        <v>987.62938671856693</v>
      </c>
      <c r="Q13" s="330">
        <f>SUM(K13,N13)</f>
        <v>1297.1695732048008</v>
      </c>
      <c r="R13" s="334">
        <f>IFERROR(Q13/P13,"")</f>
        <v>1.3134173513352938</v>
      </c>
      <c r="S13" s="483">
        <f>(IFERROR(VLOOKUP(B13,'SOPORTE RECAUDOS'!$A$5:$E$27,5,0),0)/1000000)</f>
        <v>212.950998</v>
      </c>
      <c r="T13" s="485">
        <f>(IFERROR(VLOOKUP(B13,'SOPORTE RECAUDOS'!$A$4:$H$27,8,0),0)/1000000)</f>
        <v>1460.0695129999999</v>
      </c>
      <c r="U13" s="240">
        <f t="shared" si="4"/>
        <v>6.8563637959564758</v>
      </c>
      <c r="V13" s="336">
        <f>IF(L13&lt;'ACELERADORES DE CUMPLIMIENTO'!$G$4,0,IF(L13&lt;'ACELERADORES DE CUMPLIMIENTO'!$G$6,'ACELERADORES DE CUMPLIMIENTO'!$H$5,IF(L13&lt;='ACELERADORES DE CUMPLIMIENTO'!$G$8,'ACELERADORES DE CUMPLIMIENTO'!$H$7,IF(L13&lt;='ACELERADORES DE CUMPLIMIENTO'!$G$11,'TABLA DE LIQUIDACION RV'!L13,IF(L13&lt;'ACELERADORES DE CUMPLIMIENTO'!$G$13,((('TABLA DE LIQUIDACION RV'!L13-1)*2)+1),IF(L13&lt;'ACELERADORES DE CUMPLIMIENTO'!$G$15,((('TABLA DE LIQUIDACION RV'!L13-1)*3)+1),190%))))))</f>
        <v>1.9</v>
      </c>
      <c r="W13" s="337">
        <f>IF(O13&lt;'ACELERADORES DE CUMPLIMIENTO'!$G$4,0,IF(O13&lt;'ACELERADORES DE CUMPLIMIENTO'!$G$6,'ACELERADORES DE CUMPLIMIENTO'!$H$5,IF(O13&lt;='ACELERADORES DE CUMPLIMIENTO'!$G$8,'ACELERADORES DE CUMPLIMIENTO'!$H$7,IF(O13&lt;='ACELERADORES DE CUMPLIMIENTO'!$G$11,'TABLA DE LIQUIDACION RV'!O13,IF(O13&lt;'ACELERADORES DE CUMPLIMIENTO'!$G$13,((('TABLA DE LIQUIDACION RV'!O13-1)*2)+1),IF(O13&lt;'ACELERADORES DE CUMPLIMIENTO'!$G$15,((('TABLA DE LIQUIDACION RV'!O13-1)*3)+1),190%))))))</f>
        <v>1.9</v>
      </c>
      <c r="X13" s="338">
        <f>IF(U13&lt;'ACELERADORES DE CUMPLIMIENTO'!$G$4,0,IF(U13&lt;'ACELERADORES DE CUMPLIMIENTO'!$G$6,'ACELERADORES DE CUMPLIMIENTO'!$H$5,IF(U13&lt;='ACELERADORES DE CUMPLIMIENTO'!$G$8,'ACELERADORES DE CUMPLIMIENTO'!$H$7,IF(U13&lt;='ACELERADORES DE CUMPLIMIENTO'!$G$11,'TABLA DE LIQUIDACION RV'!U13,IF(U13&lt;'ACELERADORES DE CUMPLIMIENTO'!$G$13,((('TABLA DE LIQUIDACION RV'!U13-1)*2)+1),IF(U13&lt;'ACELERADORES DE CUMPLIMIENTO'!$G$15,((('TABLA DE LIQUIDACION RV'!U13-1)*3)+1),190%))))))</f>
        <v>1.9</v>
      </c>
      <c r="Y13" s="339">
        <f>IF(G13="CONSUMO",V13*$Y$3,V13*$Y$4)</f>
        <v>0</v>
      </c>
      <c r="Z13" s="339">
        <f>IF(G13="CONSUMO",W13*$Z$3,W13*$Z$4)</f>
        <v>1.3299999999999998</v>
      </c>
      <c r="AA13" s="339">
        <f>IF(G13="CONSUMO",X13*$AA$3,X13*$AA$4)</f>
        <v>0.56999999999999995</v>
      </c>
      <c r="AB13" s="329">
        <f>IFERROR(VLOOKUP(I13,COLABORADORES!$G$3:$I$60,3,0),0)</f>
        <v>712801.90079999994</v>
      </c>
      <c r="AC13" s="155">
        <f>$AB13*Y13</f>
        <v>0</v>
      </c>
      <c r="AD13" s="155">
        <f>AB13*Z13</f>
        <v>948026.52806399984</v>
      </c>
      <c r="AE13" s="155">
        <f>AB13*AA13</f>
        <v>406297.08345599991</v>
      </c>
      <c r="AF13" s="155"/>
      <c r="AG13" s="252">
        <f t="shared" si="11"/>
        <v>1354323.6115199998</v>
      </c>
    </row>
    <row r="14" spans="2:33" s="68" customFormat="1" ht="15.6" customHeight="1" x14ac:dyDescent="0.3">
      <c r="B14" s="116" t="str">
        <f t="shared" si="13"/>
        <v>1406</v>
      </c>
      <c r="C14" s="116" t="s">
        <v>152</v>
      </c>
      <c r="D14" s="116" t="s">
        <v>114</v>
      </c>
      <c r="E14" s="166" t="s">
        <v>38</v>
      </c>
      <c r="F14" s="154" t="str">
        <f>IFERROR(VLOOKUP(E14,COLABORADORES!$B$3:$J$60,2,0),"")</f>
        <v>LOS MARTINEZ</v>
      </c>
      <c r="G14" s="169" t="str">
        <f>IFERROR(VLOOKUP(B14,COLABORADORES!$B$3:$J$60,3,0),"")</f>
        <v>PANADERIA</v>
      </c>
      <c r="H14" s="154" t="str">
        <f>IFERROR(VLOOKUP(E14,COLABORADORES!$B$3:$J$60,5,0),"")</f>
        <v>Vacante</v>
      </c>
      <c r="I14" s="341" t="str">
        <f>IFERROR(VLOOKUP(E14,COLABORADORES!$B$3:$J$60,6,0),"")</f>
        <v>N/A: VACANTE</v>
      </c>
      <c r="J14" s="330">
        <f>SUM(SUMIF('SOPORTE VENTAS'!$C:$C,E14,'SOPORTE VENTAS'!$N:$N))</f>
        <v>0</v>
      </c>
      <c r="K14" s="330">
        <f>SUM(SUMIF('SOPORTE VENTAS'!$C:$C,E14,'SOPORTE VENTAS'!$K:$K))</f>
        <v>0</v>
      </c>
      <c r="L14" s="331">
        <v>0</v>
      </c>
      <c r="M14" s="332">
        <f>SUMIF('SOPORTE VENTAS'!$C:$C,E14,'SOPORTE VENTAS'!$O:$O)</f>
        <v>0</v>
      </c>
      <c r="N14" s="487">
        <f>SUMIF('SOPORTE VENTAS'!$C:$C,E14,'SOPORTE VENTAS'!$L:$L)</f>
        <v>0</v>
      </c>
      <c r="O14" s="333">
        <v>0</v>
      </c>
      <c r="P14" s="330">
        <f>SUM(J14,M14)</f>
        <v>0</v>
      </c>
      <c r="Q14" s="330">
        <f>SUM(K14,N14)</f>
        <v>0</v>
      </c>
      <c r="R14" s="334" t="str">
        <f>IFERROR(Q14/P14,"")</f>
        <v/>
      </c>
      <c r="S14" s="486">
        <f>(IFERROR(VLOOKUP(B14,'SOPORTE RECAUDOS'!$A$5:$E$27,5,0),0)/1000000)</f>
        <v>0</v>
      </c>
      <c r="T14" s="487">
        <f>(IFERROR(VLOOKUP(B14,'SOPORTE RECAUDOS'!$A$4:$H$27,8,0),0)/1000000)</f>
        <v>0</v>
      </c>
      <c r="U14" s="335">
        <f>IFERROR(T14/S14,0)</f>
        <v>0</v>
      </c>
      <c r="V14" s="336">
        <f>IF(L14&lt;'ACELERADORES DE CUMPLIMIENTO'!$G$4,0,IF(L14&lt;'ACELERADORES DE CUMPLIMIENTO'!$G$6,'ACELERADORES DE CUMPLIMIENTO'!$H$5,IF(L14&lt;='ACELERADORES DE CUMPLIMIENTO'!$G$8,'ACELERADORES DE CUMPLIMIENTO'!$H$7,IF(L14&lt;='ACELERADORES DE CUMPLIMIENTO'!$G$11,'TABLA DE LIQUIDACION RV'!L14,IF(L14&lt;'ACELERADORES DE CUMPLIMIENTO'!$G$13,((('TABLA DE LIQUIDACION RV'!L14-1)*2)+1),IF(L14&lt;'ACELERADORES DE CUMPLIMIENTO'!$G$15,((('TABLA DE LIQUIDACION RV'!L14-1)*3)+1),190%))))))</f>
        <v>0</v>
      </c>
      <c r="W14" s="337">
        <f>IF(O14&lt;'ACELERADORES DE CUMPLIMIENTO'!$G$4,0,IF(O14&lt;'ACELERADORES DE CUMPLIMIENTO'!$G$6,'ACELERADORES DE CUMPLIMIENTO'!$H$5,IF(O14&lt;='ACELERADORES DE CUMPLIMIENTO'!$G$8,'ACELERADORES DE CUMPLIMIENTO'!$H$7,IF(O14&lt;='ACELERADORES DE CUMPLIMIENTO'!$G$11,'TABLA DE LIQUIDACION RV'!O14,IF(O14&lt;'ACELERADORES DE CUMPLIMIENTO'!$G$13,((('TABLA DE LIQUIDACION RV'!O14-1)*2)+1),IF(O14&lt;'ACELERADORES DE CUMPLIMIENTO'!$G$15,((('TABLA DE LIQUIDACION RV'!O14-1)*3)+1),190%))))))</f>
        <v>0</v>
      </c>
      <c r="X14" s="338">
        <f>IF(U14&lt;'ACELERADORES DE CUMPLIMIENTO'!$G$4,0,IF(U14&lt;'ACELERADORES DE CUMPLIMIENTO'!$G$6,'ACELERADORES DE CUMPLIMIENTO'!$H$5,IF(U14&lt;='ACELERADORES DE CUMPLIMIENTO'!$G$8,'ACELERADORES DE CUMPLIMIENTO'!$H$7,IF(U14&lt;='ACELERADORES DE CUMPLIMIENTO'!$G$11,'TABLA DE LIQUIDACION RV'!U14,IF(U14&lt;'ACELERADORES DE CUMPLIMIENTO'!$G$13,((('TABLA DE LIQUIDACION RV'!U14-1)*2)+1),IF(U14&lt;'ACELERADORES DE CUMPLIMIENTO'!$G$15,((('TABLA DE LIQUIDACION RV'!U14-1)*3)+1),190%))))))</f>
        <v>0</v>
      </c>
      <c r="Y14" s="339">
        <f>IF(G14="CONSUMO",V14*$Y$3,V14*$Y$4)</f>
        <v>0</v>
      </c>
      <c r="Z14" s="339">
        <f>IF(G14="CONSUMO",W14*$Z$3,W14*$Z$4)</f>
        <v>0</v>
      </c>
      <c r="AA14" s="339">
        <f>IF(G14="CONSUMO",X14*$AA$3,X14*$AA$4)</f>
        <v>0</v>
      </c>
      <c r="AB14" s="329">
        <f>IFERROR(VLOOKUP(I14,COLABORADORES!$G$3:$I$60,3,0),0)</f>
        <v>0</v>
      </c>
      <c r="AC14" s="155">
        <f>$AB14*Y14</f>
        <v>0</v>
      </c>
      <c r="AD14" s="155">
        <f>AB14*Z14</f>
        <v>0</v>
      </c>
      <c r="AE14" s="155">
        <f>AB14*AA14</f>
        <v>0</v>
      </c>
      <c r="AF14" s="155"/>
      <c r="AG14" s="252">
        <f t="shared" si="11"/>
        <v>0</v>
      </c>
    </row>
    <row r="15" spans="2:33" s="68" customFormat="1" ht="15.6" customHeight="1" x14ac:dyDescent="0.3">
      <c r="B15" s="116" t="str">
        <f t="shared" si="13"/>
        <v>1501</v>
      </c>
      <c r="C15" s="116" t="s">
        <v>1075</v>
      </c>
      <c r="D15" s="116" t="s">
        <v>48</v>
      </c>
      <c r="E15" s="166" t="s">
        <v>32</v>
      </c>
      <c r="F15" s="154" t="str">
        <f>IFERROR(VLOOKUP(E15,COLABORADORES!$B$3:$J$60,2,0),"")</f>
        <v>CADENAS NACIONALES</v>
      </c>
      <c r="G15" s="169" t="str">
        <f>IFERROR(VLOOKUP(B15,COLABORADORES!$B$3:$J$60,3,0),"")</f>
        <v>CONSUMO</v>
      </c>
      <c r="H15" s="154" t="str">
        <f>IFERROR(VLOOKUP(E15,COLABORADORES!$B$3:$J$60,5,0),"")</f>
        <v>ALVARADO GUERRERO  DORIS</v>
      </c>
      <c r="I15" s="341">
        <f>IFERROR(VLOOKUP(E15,COLABORADORES!$B$3:$J$60,6,0),"")</f>
        <v>39536782</v>
      </c>
      <c r="J15" s="161">
        <f>SUM(SUMIF('SOPORTE VENTAS'!$C:$C,E15,'SOPORTE VENTAS'!$N:$N))</f>
        <v>0</v>
      </c>
      <c r="K15" s="161">
        <f>SUM(SUMIF('SOPORTE VENTAS'!$C:$C,E15,'SOPORTE VENTAS'!$K:$K))</f>
        <v>647.28193967940001</v>
      </c>
      <c r="L15" s="791">
        <v>1</v>
      </c>
      <c r="M15" s="241">
        <f>SUMIF('SOPORTE VENTAS'!$C:$C,E15,'SOPORTE VENTAS'!$O:$O)</f>
        <v>400.13907360691337</v>
      </c>
      <c r="N15" s="653">
        <f>SUMIF('SOPORTE VENTAS'!$C:$C,E15,'SOPORTE VENTAS'!$L:$L)</f>
        <v>427.61150399999985</v>
      </c>
      <c r="O15" s="240">
        <f t="shared" si="1"/>
        <v>1.0686572049698768</v>
      </c>
      <c r="P15" s="155">
        <f t="shared" si="14"/>
        <v>400.13907360691337</v>
      </c>
      <c r="Q15" s="155">
        <f t="shared" si="2"/>
        <v>1074.8934436793998</v>
      </c>
      <c r="R15" s="157">
        <f t="shared" si="3"/>
        <v>2.6862996257529907</v>
      </c>
      <c r="S15" s="483">
        <f>(IFERROR(VLOOKUP(B15,'SOPORTE RECAUDOS'!$A$5:$E$27,5,0),0)/1000000)</f>
        <v>981.78413399999999</v>
      </c>
      <c r="T15" s="484">
        <f>(IFERROR(VLOOKUP(B15,'SOPORTE RECAUDOS'!$A$4:$H$27,8,0),0)/1000000)</f>
        <v>727.89434900000003</v>
      </c>
      <c r="U15" s="240">
        <f t="shared" si="4"/>
        <v>0.74139958448340548</v>
      </c>
      <c r="V15" s="226">
        <f>IF(L15&lt;'ACELERADORES DE CUMPLIMIENTO'!$G$4,0,IF(L15&lt;'ACELERADORES DE CUMPLIMIENTO'!$G$6,'ACELERADORES DE CUMPLIMIENTO'!$H$5,IF(L15&lt;='ACELERADORES DE CUMPLIMIENTO'!$G$8,'ACELERADORES DE CUMPLIMIENTO'!$H$7,IF(L15&lt;='ACELERADORES DE CUMPLIMIENTO'!$G$11,'TABLA DE LIQUIDACION RV'!L15,IF(L15&lt;'ACELERADORES DE CUMPLIMIENTO'!$G$13,((('TABLA DE LIQUIDACION RV'!L15-1)*2)+1),IF(L15&lt;'ACELERADORES DE CUMPLIMIENTO'!$G$15,((('TABLA DE LIQUIDACION RV'!L15-1)*3)+1),190%))))))</f>
        <v>1</v>
      </c>
      <c r="W15" s="158">
        <f>IF(O15&lt;'ACELERADORES DE CUMPLIMIENTO'!$G$4,0,IF(O15&lt;'ACELERADORES DE CUMPLIMIENTO'!$G$6,'ACELERADORES DE CUMPLIMIENTO'!$H$5,IF(O15&lt;='ACELERADORES DE CUMPLIMIENTO'!$G$8,'ACELERADORES DE CUMPLIMIENTO'!$H$7,IF(O15&lt;='ACELERADORES DE CUMPLIMIENTO'!$G$11,'TABLA DE LIQUIDACION RV'!O15,IF(O15&lt;'ACELERADORES DE CUMPLIMIENTO'!$G$13,((('TABLA DE LIQUIDACION RV'!O15-1)*2)+1),IF(O15&lt;'ACELERADORES DE CUMPLIMIENTO'!$G$15,((('TABLA DE LIQUIDACION RV'!O15-1)*3)+1),190%))))))</f>
        <v>1.1373144099397536</v>
      </c>
      <c r="X15" s="227">
        <f>IF(U15&lt;'ACELERADORES DE CUMPLIMIENTO'!$G$4,0,IF(U15&lt;'ACELERADORES DE CUMPLIMIENTO'!$G$6,'ACELERADORES DE CUMPLIMIENTO'!$H$5,IF(U15&lt;='ACELERADORES DE CUMPLIMIENTO'!$G$8,'ACELERADORES DE CUMPLIMIENTO'!$H$7,IF(U15&lt;='ACELERADORES DE CUMPLIMIENTO'!$G$11,'TABLA DE LIQUIDACION RV'!U15,IF(U15&lt;'ACELERADORES DE CUMPLIMIENTO'!$G$13,((('TABLA DE LIQUIDACION RV'!U15-1)*2)+1),IF(U15&lt;'ACELERADORES DE CUMPLIMIENTO'!$G$15,((('TABLA DE LIQUIDACION RV'!U15-1)*3)+1),190%))))))</f>
        <v>0</v>
      </c>
      <c r="Y15" s="159">
        <f t="shared" si="5"/>
        <v>0.05</v>
      </c>
      <c r="Z15" s="159">
        <f t="shared" si="6"/>
        <v>0.73925436646083986</v>
      </c>
      <c r="AA15" s="159">
        <f t="shared" si="7"/>
        <v>0</v>
      </c>
      <c r="AB15" s="236">
        <f>IFERROR(VLOOKUP(I15,COLABORADORES!$G$3:$I$60,3,0),0)</f>
        <v>670749.39139999996</v>
      </c>
      <c r="AC15" s="155">
        <f>$AB15*Y15</f>
        <v>33537.469570000001</v>
      </c>
      <c r="AD15" s="326">
        <f t="shared" si="9"/>
        <v>495854.41639340087</v>
      </c>
      <c r="AE15" s="326">
        <f t="shared" si="10"/>
        <v>0</v>
      </c>
      <c r="AF15" s="326"/>
      <c r="AG15" s="252">
        <f>SUM(AC15:AF15)</f>
        <v>529391.88596340083</v>
      </c>
    </row>
    <row r="16" spans="2:33" s="68" customFormat="1" ht="15.6" customHeight="1" x14ac:dyDescent="0.3">
      <c r="B16" s="116" t="str">
        <f t="shared" si="13"/>
        <v>1202</v>
      </c>
      <c r="C16" s="116"/>
      <c r="D16" s="116" t="s">
        <v>48</v>
      </c>
      <c r="E16" s="166" t="s">
        <v>54</v>
      </c>
      <c r="F16" s="154" t="str">
        <f>IFERROR(VLOOKUP(E16,COLABORADORES!$B$3:$J$60,2,0),"")</f>
        <v>NORTE</v>
      </c>
      <c r="G16" s="169" t="str">
        <f>IFERROR(VLOOKUP(B16,COLABORADORES!$B$3:$J$60,3,0),"")</f>
        <v>PANADERIA</v>
      </c>
      <c r="H16" s="154" t="str">
        <f>IFERROR(VLOOKUP(E16,COLABORADORES!$B$3:$J$60,5,0),"")</f>
        <v>QUICENO BARRERA YURLEY ROCIO</v>
      </c>
      <c r="I16" s="341">
        <f>IFERROR(VLOOKUP(E16,COLABORADORES!$B$3:$J$60,6,0),"")</f>
        <v>1098712340</v>
      </c>
      <c r="J16" s="161">
        <f>SUM(SUMIF('SOPORTE VENTAS'!$C:$C,E16,'SOPORTE VENTAS'!$N:$N))</f>
        <v>0</v>
      </c>
      <c r="K16" s="161">
        <f>SUM(SUMIF('SOPORTE VENTAS'!$C:$C,E16,'SOPORTE VENTAS'!$K:$K))</f>
        <v>0</v>
      </c>
      <c r="L16" s="162">
        <v>0</v>
      </c>
      <c r="M16" s="241">
        <f>SUMIF('SOPORTE VENTAS'!$C:$C,E16,'SOPORTE VENTAS'!$O:$O)</f>
        <v>323.23777206628</v>
      </c>
      <c r="N16" s="653">
        <f>SUMIF('SOPORTE VENTAS'!$C:$C,E16,'SOPORTE VENTAS'!$L:$L)</f>
        <v>261.97041416000002</v>
      </c>
      <c r="O16" s="240">
        <f t="shared" si="1"/>
        <v>0.8104573066611872</v>
      </c>
      <c r="P16" s="155">
        <f t="shared" si="14"/>
        <v>323.23777206628</v>
      </c>
      <c r="Q16" s="155">
        <f t="shared" si="2"/>
        <v>261.97041416000002</v>
      </c>
      <c r="R16" s="157">
        <f t="shared" si="3"/>
        <v>0.8104573066611872</v>
      </c>
      <c r="S16" s="483">
        <f>(IFERROR(VLOOKUP(B16,'SOPORTE RECAUDOS'!$A$5:$E$27,5,0),0)/1000000)</f>
        <v>45.407252</v>
      </c>
      <c r="T16" s="484">
        <f>(IFERROR(VLOOKUP(B16,'SOPORTE RECAUDOS'!$A$4:$H$27,8,0),0)/1000000)</f>
        <v>259.94736899999998</v>
      </c>
      <c r="U16" s="240">
        <f t="shared" si="4"/>
        <v>5.7247985189678507</v>
      </c>
      <c r="V16" s="226">
        <f>IF(L16&lt;'ACELERADORES DE CUMPLIMIENTO'!$G$4,0,IF(L16&lt;'ACELERADORES DE CUMPLIMIENTO'!$G$6,'ACELERADORES DE CUMPLIMIENTO'!$H$5,IF(L16&lt;='ACELERADORES DE CUMPLIMIENTO'!$G$8,'ACELERADORES DE CUMPLIMIENTO'!$H$7,IF(L16&lt;='ACELERADORES DE CUMPLIMIENTO'!$G$11,'TABLA DE LIQUIDACION RV'!L16,IF(L16&lt;'ACELERADORES DE CUMPLIMIENTO'!$G$13,((('TABLA DE LIQUIDACION RV'!L16-1)*2)+1),IF(L16&lt;'ACELERADORES DE CUMPLIMIENTO'!$G$15,((('TABLA DE LIQUIDACION RV'!L16-1)*3)+1),190%))))))</f>
        <v>0</v>
      </c>
      <c r="W16" s="158">
        <f>IF(O16&lt;'ACELERADORES DE CUMPLIMIENTO'!$G$4,0,IF(O16&lt;'ACELERADORES DE CUMPLIMIENTO'!$G$6,'ACELERADORES DE CUMPLIMIENTO'!$H$5,IF(O16&lt;='ACELERADORES DE CUMPLIMIENTO'!$G$8,'ACELERADORES DE CUMPLIMIENTO'!$H$7,IF(O16&lt;='ACELERADORES DE CUMPLIMIENTO'!$G$11,'TABLA DE LIQUIDACION RV'!O16,IF(O16&lt;'ACELERADORES DE CUMPLIMIENTO'!$G$13,((('TABLA DE LIQUIDACION RV'!O16-1)*2)+1),IF(O16&lt;'ACELERADORES DE CUMPLIMIENTO'!$G$15,((('TABLA DE LIQUIDACION RV'!O16-1)*3)+1),190%))))))</f>
        <v>0</v>
      </c>
      <c r="X16" s="227">
        <f>IF(U16&lt;'ACELERADORES DE CUMPLIMIENTO'!$G$4,0,IF(U16&lt;'ACELERADORES DE CUMPLIMIENTO'!$G$6,'ACELERADORES DE CUMPLIMIENTO'!$H$5,IF(U16&lt;='ACELERADORES DE CUMPLIMIENTO'!$G$8,'ACELERADORES DE CUMPLIMIENTO'!$H$7,IF(U16&lt;='ACELERADORES DE CUMPLIMIENTO'!$G$11,'TABLA DE LIQUIDACION RV'!U16,IF(U16&lt;'ACELERADORES DE CUMPLIMIENTO'!$G$13,((('TABLA DE LIQUIDACION RV'!U16-1)*2)+1),IF(U16&lt;'ACELERADORES DE CUMPLIMIENTO'!$G$15,((('TABLA DE LIQUIDACION RV'!U16-1)*3)+1),190%))))))</f>
        <v>1.9</v>
      </c>
      <c r="Y16" s="159">
        <f t="shared" si="5"/>
        <v>0</v>
      </c>
      <c r="Z16" s="159">
        <f t="shared" si="6"/>
        <v>0</v>
      </c>
      <c r="AA16" s="159">
        <f t="shared" si="7"/>
        <v>0.56999999999999995</v>
      </c>
      <c r="AB16" s="236">
        <f>IFERROR(VLOOKUP(I16,COLABORADORES!$G$3:$I$60,3,0),0)</f>
        <v>611603.00080000004</v>
      </c>
      <c r="AC16" s="326">
        <f t="shared" si="8"/>
        <v>0</v>
      </c>
      <c r="AD16" s="326">
        <f>$AB16*Z16</f>
        <v>0</v>
      </c>
      <c r="AE16" s="326">
        <f t="shared" si="10"/>
        <v>348613.710456</v>
      </c>
      <c r="AF16" s="326"/>
      <c r="AG16" s="252">
        <f t="shared" si="11"/>
        <v>348613.710456</v>
      </c>
    </row>
    <row r="17" spans="2:34" s="68" customFormat="1" ht="15.6" customHeight="1" x14ac:dyDescent="0.3">
      <c r="B17" s="116" t="str">
        <f t="shared" si="13"/>
        <v>2301</v>
      </c>
      <c r="C17" s="116"/>
      <c r="D17" s="116" t="s">
        <v>48</v>
      </c>
      <c r="E17" s="166" t="s">
        <v>89</v>
      </c>
      <c r="F17" s="154" t="str">
        <f>IFERROR(VLOOKUP(E17,COLABORADORES!$B$3:$J$60,2,0),"")</f>
        <v>ANTIOQUIA</v>
      </c>
      <c r="G17" s="169" t="str">
        <f>IFERROR(VLOOKUP(B17,COLABORADORES!$B$3:$J$60,3,0),"")</f>
        <v>CONSUMO</v>
      </c>
      <c r="H17" s="154" t="str">
        <f>IFERROR(VLOOKUP(E17,COLABORADORES!$B$3:$J$60,5,0),"")</f>
        <v>Vacante</v>
      </c>
      <c r="I17" s="341" t="str">
        <f>IFERROR(VLOOKUP(E17,COLABORADORES!$B$3:$J$60,6,0),"")</f>
        <v>N/A: VACANTE</v>
      </c>
      <c r="J17" s="161">
        <f>SUM(SUMIF('SOPORTE VENTAS'!$C:$C,E17,'SOPORTE VENTAS'!$N:$N))</f>
        <v>0</v>
      </c>
      <c r="K17" s="161">
        <f>SUM(SUMIF('SOPORTE VENTAS'!$C:$C,E17,'SOPORTE VENTAS'!$K:$K))</f>
        <v>0</v>
      </c>
      <c r="L17" s="162" t="str">
        <f>IFERROR(K17/J17,"")</f>
        <v/>
      </c>
      <c r="M17" s="241">
        <f>SUMIF('SOPORTE VENTAS'!$C:$C,E17,'SOPORTE VENTAS'!$O:$O)</f>
        <v>10.049076044849855</v>
      </c>
      <c r="N17" s="653">
        <f>SUMIF('SOPORTE VENTAS'!$C:$C,E17,'SOPORTE VENTAS'!$L:$L)</f>
        <v>26.510803500000002</v>
      </c>
      <c r="O17" s="240">
        <f t="shared" ref="O17:O26" si="15">IFERROR(N17/M17,"")</f>
        <v>2.6381334345247365</v>
      </c>
      <c r="P17" s="155">
        <f>SUM(J17,M17)</f>
        <v>10.049076044849855</v>
      </c>
      <c r="Q17" s="155">
        <f>SUM(K17,N17)</f>
        <v>26.510803500000002</v>
      </c>
      <c r="R17" s="157">
        <f>IFERROR(Q17/P17,"")</f>
        <v>2.6381334345247365</v>
      </c>
      <c r="S17" s="483">
        <f>(IFERROR(VLOOKUP(B17,'SOPORTE RECAUDOS'!$A$5:$E$27,5,0),0)/1000000)</f>
        <v>0</v>
      </c>
      <c r="T17" s="484">
        <f>(IFERROR(VLOOKUP(B17,'SOPORTE RECAUDOS'!$A$4:$H$27,8,0),0)/1000000)</f>
        <v>0</v>
      </c>
      <c r="U17" s="240">
        <f>IFERROR(T17/S17,0)</f>
        <v>0</v>
      </c>
      <c r="V17" s="226">
        <f>IF(L17&lt;'ACELERADORES DE CUMPLIMIENTO'!$G$4,0,IF(L17&lt;'ACELERADORES DE CUMPLIMIENTO'!$G$6,'ACELERADORES DE CUMPLIMIENTO'!$H$5,IF(L17&lt;='ACELERADORES DE CUMPLIMIENTO'!$G$8,'ACELERADORES DE CUMPLIMIENTO'!$H$7,IF(L17&lt;='ACELERADORES DE CUMPLIMIENTO'!$G$11,'TABLA DE LIQUIDACION RV'!L17,IF(L17&lt;'ACELERADORES DE CUMPLIMIENTO'!$G$13,((('TABLA DE LIQUIDACION RV'!L17-1)*2)+1),IF(L17&lt;'ACELERADORES DE CUMPLIMIENTO'!$G$15,((('TABLA DE LIQUIDACION RV'!L17-1)*3)+1),190%))))))</f>
        <v>1.9</v>
      </c>
      <c r="W17" s="158">
        <f>IF(O17&lt;'ACELERADORES DE CUMPLIMIENTO'!$G$4,0,IF(O17&lt;'ACELERADORES DE CUMPLIMIENTO'!$G$6,'ACELERADORES DE CUMPLIMIENTO'!$H$5,IF(O17&lt;='ACELERADORES DE CUMPLIMIENTO'!$G$8,'ACELERADORES DE CUMPLIMIENTO'!$H$7,IF(O17&lt;='ACELERADORES DE CUMPLIMIENTO'!$G$11,'TABLA DE LIQUIDACION RV'!O17,IF(O17&lt;'ACELERADORES DE CUMPLIMIENTO'!$G$13,((('TABLA DE LIQUIDACION RV'!O17-1)*2)+1),IF(O17&lt;'ACELERADORES DE CUMPLIMIENTO'!$G$15,((('TABLA DE LIQUIDACION RV'!O17-1)*3)+1),190%))))))</f>
        <v>1.9</v>
      </c>
      <c r="X17" s="227">
        <f>IF(U17&lt;'ACELERADORES DE CUMPLIMIENTO'!$G$4,0,IF(U17&lt;'ACELERADORES DE CUMPLIMIENTO'!$G$6,'ACELERADORES DE CUMPLIMIENTO'!$H$5,IF(U17&lt;='ACELERADORES DE CUMPLIMIENTO'!$G$8,'ACELERADORES DE CUMPLIMIENTO'!$H$7,IF(U17&lt;='ACELERADORES DE CUMPLIMIENTO'!$G$11,'TABLA DE LIQUIDACION RV'!U17,IF(U17&lt;'ACELERADORES DE CUMPLIMIENTO'!$G$13,((('TABLA DE LIQUIDACION RV'!U17-1)*2)+1),IF(U17&lt;'ACELERADORES DE CUMPLIMIENTO'!$G$15,((('TABLA DE LIQUIDACION RV'!U17-1)*3)+1),190%))))))</f>
        <v>0</v>
      </c>
      <c r="Y17" s="159">
        <f>IF(G17="CONSUMO",V17*$Y$3,V17*$Y$4)</f>
        <v>9.5000000000000001E-2</v>
      </c>
      <c r="Z17" s="159">
        <f>IF(G17="CONSUMO",W17*$Z$3,W17*$Z$4)</f>
        <v>1.2349999999999999</v>
      </c>
      <c r="AA17" s="159">
        <f>IF(G17="CONSUMO",X17*$AA$3,X17*$AA$4)</f>
        <v>0</v>
      </c>
      <c r="AB17" s="236">
        <f>IFERROR(VLOOKUP(I17,COLABORADORES!$G$3:$I$60,3,0),0)</f>
        <v>0</v>
      </c>
      <c r="AC17" s="326">
        <f>$AB17*Y17</f>
        <v>0</v>
      </c>
      <c r="AD17" s="326">
        <f>$AB17*Z17</f>
        <v>0</v>
      </c>
      <c r="AE17" s="326">
        <f>$AB17*AA17</f>
        <v>0</v>
      </c>
      <c r="AF17" s="326"/>
      <c r="AG17" s="252">
        <f t="shared" si="11"/>
        <v>0</v>
      </c>
    </row>
    <row r="18" spans="2:34" s="68" customFormat="1" ht="15.6" customHeight="1" x14ac:dyDescent="0.3">
      <c r="B18" s="116" t="str">
        <f t="shared" si="13"/>
        <v>1101</v>
      </c>
      <c r="C18" s="116"/>
      <c r="D18" s="116" t="s">
        <v>48</v>
      </c>
      <c r="E18" s="166" t="s">
        <v>57</v>
      </c>
      <c r="F18" s="154" t="str">
        <f>IFERROR(VLOOKUP(E18,COLABORADORES!$B$3:$J$60,2,0),"")</f>
        <v>SUR OCCIDENTE</v>
      </c>
      <c r="G18" s="169" t="str">
        <f>IFERROR(VLOOKUP(B18,COLABORADORES!$B$3:$J$60,3,0),"")</f>
        <v>PANADERIA</v>
      </c>
      <c r="H18" s="154" t="str">
        <f>IFERROR(VLOOKUP(E18,COLABORADORES!$B$3:$J$60,5,0),"")</f>
        <v>SARMIENTO AGUIRRE JONNATHAN</v>
      </c>
      <c r="I18" s="341">
        <f>IFERROR(VLOOKUP(E18,COLABORADORES!$B$3:$J$60,6,0),"")</f>
        <v>1118298495</v>
      </c>
      <c r="J18" s="161">
        <f>SUM(SUMIF('SOPORTE VENTAS'!$C:$C,E18,'SOPORTE VENTAS'!$N:$N))</f>
        <v>0</v>
      </c>
      <c r="K18" s="161">
        <f>SUM(SUMIF('SOPORTE VENTAS'!$C:$C,E18,'SOPORTE VENTAS'!$K:$K))</f>
        <v>0</v>
      </c>
      <c r="L18" s="162">
        <v>0</v>
      </c>
      <c r="M18" s="241">
        <f>SUMIF('SOPORTE VENTAS'!$C:$C,E18,'SOPORTE VENTAS'!$O:$O)</f>
        <v>0</v>
      </c>
      <c r="N18" s="653">
        <f>SUMIF('SOPORTE VENTAS'!$C:$C,E18,'SOPORTE VENTAS'!$L:$L)</f>
        <v>0</v>
      </c>
      <c r="O18" s="240">
        <v>0</v>
      </c>
      <c r="P18" s="155">
        <f t="shared" si="14"/>
        <v>0</v>
      </c>
      <c r="Q18" s="155">
        <f t="shared" si="2"/>
        <v>0</v>
      </c>
      <c r="R18" s="157" t="str">
        <f t="shared" si="3"/>
        <v/>
      </c>
      <c r="S18" s="483">
        <f>(IFERROR(VLOOKUP(B18,'SOPORTE RECAUDOS'!$A$5:$E$27,5,0),0)/1000000)</f>
        <v>2.2250079999999999</v>
      </c>
      <c r="T18" s="484">
        <f>(IFERROR(VLOOKUP(B18,'SOPORTE RECAUDOS'!$A$4:$H$27,8,0),0)/1000000)</f>
        <v>2.2250079999999999</v>
      </c>
      <c r="U18" s="240">
        <f t="shared" si="4"/>
        <v>1</v>
      </c>
      <c r="V18" s="226">
        <f>IF(L18&lt;'ACELERADORES DE CUMPLIMIENTO'!$G$4,0,IF(L18&lt;'ACELERADORES DE CUMPLIMIENTO'!$G$6,'ACELERADORES DE CUMPLIMIENTO'!$H$5,IF(L18&lt;='ACELERADORES DE CUMPLIMIENTO'!$G$8,'ACELERADORES DE CUMPLIMIENTO'!$H$7,IF(L18&lt;='ACELERADORES DE CUMPLIMIENTO'!$G$11,'TABLA DE LIQUIDACION RV'!L18,IF(L18&lt;'ACELERADORES DE CUMPLIMIENTO'!$G$13,((('TABLA DE LIQUIDACION RV'!L18-1)*2)+1),IF(L18&lt;'ACELERADORES DE CUMPLIMIENTO'!$G$15,((('TABLA DE LIQUIDACION RV'!L18-1)*3)+1),190%))))))</f>
        <v>0</v>
      </c>
      <c r="W18" s="158">
        <f>IF(O18&lt;'ACELERADORES DE CUMPLIMIENTO'!$G$4,0,IF(O18&lt;'ACELERADORES DE CUMPLIMIENTO'!$G$6,'ACELERADORES DE CUMPLIMIENTO'!$H$5,IF(O18&lt;='ACELERADORES DE CUMPLIMIENTO'!$G$8,'ACELERADORES DE CUMPLIMIENTO'!$H$7,IF(O18&lt;='ACELERADORES DE CUMPLIMIENTO'!$G$11,'TABLA DE LIQUIDACION RV'!O18,IF(O18&lt;'ACELERADORES DE CUMPLIMIENTO'!$G$13,((('TABLA DE LIQUIDACION RV'!O18-1)*2)+1),IF(O18&lt;'ACELERADORES DE CUMPLIMIENTO'!$G$15,((('TABLA DE LIQUIDACION RV'!O18-1)*3)+1),190%))))))</f>
        <v>0</v>
      </c>
      <c r="X18" s="227">
        <f>IF(U18&lt;'ACELERADORES DE CUMPLIMIENTO'!$G$4,0,IF(U18&lt;'ACELERADORES DE CUMPLIMIENTO'!$G$6,'ACELERADORES DE CUMPLIMIENTO'!$H$5,IF(U18&lt;='ACELERADORES DE CUMPLIMIENTO'!$G$8,'ACELERADORES DE CUMPLIMIENTO'!$H$7,IF(U18&lt;='ACELERADORES DE CUMPLIMIENTO'!$G$11,'TABLA DE LIQUIDACION RV'!U18,IF(U18&lt;'ACELERADORES DE CUMPLIMIENTO'!$G$13,((('TABLA DE LIQUIDACION RV'!U18-1)*2)+1),IF(U18&lt;'ACELERADORES DE CUMPLIMIENTO'!$G$15,((('TABLA DE LIQUIDACION RV'!U18-1)*3)+1),190%))))))</f>
        <v>1</v>
      </c>
      <c r="Y18" s="159">
        <f t="shared" si="5"/>
        <v>0</v>
      </c>
      <c r="Z18" s="159">
        <f>IF(G18="CONSUMO",W18*$Z$3,W18*$Z$4)</f>
        <v>0</v>
      </c>
      <c r="AA18" s="159">
        <f t="shared" si="7"/>
        <v>0.3</v>
      </c>
      <c r="AB18" s="236">
        <f>IFERROR(VLOOKUP(I18,COLABORADORES!$G$3:$I$60,3,0),0)</f>
        <v>1500000</v>
      </c>
      <c r="AC18" s="798"/>
      <c r="AD18" s="798"/>
      <c r="AE18" s="798"/>
      <c r="AF18" s="326"/>
      <c r="AG18" s="252">
        <f t="shared" si="11"/>
        <v>0</v>
      </c>
      <c r="AH18" s="110"/>
    </row>
    <row r="19" spans="2:34" s="68" customFormat="1" ht="15.6" customHeight="1" x14ac:dyDescent="0.3">
      <c r="B19" s="116" t="str">
        <f t="shared" si="13"/>
        <v>1102</v>
      </c>
      <c r="C19" s="116"/>
      <c r="D19" s="116" t="s">
        <v>48</v>
      </c>
      <c r="E19" s="166" t="s">
        <v>58</v>
      </c>
      <c r="F19" s="154" t="str">
        <f>IFERROR(VLOOKUP(E19,COLABORADORES!$B$3:$J$60,2,0),"")</f>
        <v>SUR OCCIDENTE</v>
      </c>
      <c r="G19" s="169" t="str">
        <f>IFERROR(VLOOKUP(B19,COLABORADORES!$B$3:$J$60,3,0),"")</f>
        <v>CONSUMO</v>
      </c>
      <c r="H19" s="154" t="str">
        <f>IFERROR(VLOOKUP(E19,COLABORADORES!$B$3:$J$60,5,0),"")</f>
        <v>Vacante</v>
      </c>
      <c r="I19" s="341" t="str">
        <f>IFERROR(VLOOKUP(E19,COLABORADORES!$B$3:$J$60,6,0),"")</f>
        <v>N/A: VACANTE</v>
      </c>
      <c r="J19" s="161">
        <f>SUM(SUMIF('SOPORTE VENTAS'!$C:$C,E19,'SOPORTE VENTAS'!$N:$N))</f>
        <v>5.4912145848099998</v>
      </c>
      <c r="K19" s="161">
        <f>SUM(SUMIF('SOPORTE VENTAS'!$C:$C,E19,'SOPORTE VENTAS'!$K:$K))</f>
        <v>5.9955513000000007</v>
      </c>
      <c r="L19" s="162">
        <f t="shared" si="0"/>
        <v>1.0918442918958431</v>
      </c>
      <c r="M19" s="241">
        <f>SUMIF('SOPORTE VENTAS'!$C:$C,E19,'SOPORTE VENTAS'!$O:$O)</f>
        <v>47.015286371106676</v>
      </c>
      <c r="N19" s="653">
        <f>SUMIF('SOPORTE VENTAS'!$C:$C,E19,'SOPORTE VENTAS'!$L:$L)</f>
        <v>20.572031543800001</v>
      </c>
      <c r="O19" s="240">
        <f t="shared" si="15"/>
        <v>0.43756048578367435</v>
      </c>
      <c r="P19" s="155">
        <f t="shared" si="14"/>
        <v>52.506500955916678</v>
      </c>
      <c r="Q19" s="155">
        <f t="shared" si="2"/>
        <v>26.567582843800004</v>
      </c>
      <c r="R19" s="157">
        <f t="shared" si="3"/>
        <v>0.5059865418589895</v>
      </c>
      <c r="S19" s="483">
        <f>(IFERROR(VLOOKUP(B19,'SOPORTE RECAUDOS'!$A$5:$E$27,5,0),0)/1000000)</f>
        <v>0</v>
      </c>
      <c r="T19" s="484">
        <f>(IFERROR(VLOOKUP(B19,'SOPORTE RECAUDOS'!$A$4:$H$27,8,0),0)/1000000)</f>
        <v>0</v>
      </c>
      <c r="U19" s="240">
        <f t="shared" si="4"/>
        <v>0</v>
      </c>
      <c r="V19" s="226">
        <f>IF(L19&lt;'ACELERADORES DE CUMPLIMIENTO'!$G$4,0,IF(L19&lt;'ACELERADORES DE CUMPLIMIENTO'!$G$6,'ACELERADORES DE CUMPLIMIENTO'!$H$5,IF(L19&lt;='ACELERADORES DE CUMPLIMIENTO'!$G$8,'ACELERADORES DE CUMPLIMIENTO'!$H$7,IF(L19&lt;='ACELERADORES DE CUMPLIMIENTO'!$G$11,'TABLA DE LIQUIDACION RV'!L19,IF(L19&lt;'ACELERADORES DE CUMPLIMIENTO'!$G$13,((('TABLA DE LIQUIDACION RV'!L19-1)*2)+1),IF(L19&lt;'ACELERADORES DE CUMPLIMIENTO'!$G$15,((('TABLA DE LIQUIDACION RV'!L19-1)*3)+1),190%))))))</f>
        <v>1.1836885837916862</v>
      </c>
      <c r="W19" s="158">
        <f>IF(O19&lt;'ACELERADORES DE CUMPLIMIENTO'!$G$4,0,IF(O19&lt;'ACELERADORES DE CUMPLIMIENTO'!$G$6,'ACELERADORES DE CUMPLIMIENTO'!$H$5,IF(O19&lt;='ACELERADORES DE CUMPLIMIENTO'!$G$8,'ACELERADORES DE CUMPLIMIENTO'!$H$7,IF(O19&lt;='ACELERADORES DE CUMPLIMIENTO'!$G$11,'TABLA DE LIQUIDACION RV'!O19,IF(O19&lt;'ACELERADORES DE CUMPLIMIENTO'!$G$13,((('TABLA DE LIQUIDACION RV'!O19-1)*2)+1),IF(O19&lt;'ACELERADORES DE CUMPLIMIENTO'!$G$15,((('TABLA DE LIQUIDACION RV'!O19-1)*3)+1),190%))))))</f>
        <v>0</v>
      </c>
      <c r="X19" s="227">
        <f>IF(U19&lt;'ACELERADORES DE CUMPLIMIENTO'!$G$4,0,IF(U19&lt;'ACELERADORES DE CUMPLIMIENTO'!$G$6,'ACELERADORES DE CUMPLIMIENTO'!$H$5,IF(U19&lt;='ACELERADORES DE CUMPLIMIENTO'!$G$8,'ACELERADORES DE CUMPLIMIENTO'!$H$7,IF(U19&lt;='ACELERADORES DE CUMPLIMIENTO'!$G$11,'TABLA DE LIQUIDACION RV'!U19,IF(U19&lt;'ACELERADORES DE CUMPLIMIENTO'!$G$13,((('TABLA DE LIQUIDACION RV'!U19-1)*2)+1),IF(U19&lt;'ACELERADORES DE CUMPLIMIENTO'!$G$15,((('TABLA DE LIQUIDACION RV'!U19-1)*3)+1),190%))))))</f>
        <v>0</v>
      </c>
      <c r="Y19" s="159">
        <f t="shared" si="5"/>
        <v>5.918442918958431E-2</v>
      </c>
      <c r="Z19" s="159">
        <f t="shared" si="6"/>
        <v>0</v>
      </c>
      <c r="AA19" s="159">
        <f>IF(G19="CONSUMO",X19*$AA$3,X19*$AA$4)</f>
        <v>0</v>
      </c>
      <c r="AB19" s="236">
        <f>IFERROR(VLOOKUP(I19,COLABORADORES!$G$3:$I$60,3,0),0)</f>
        <v>0</v>
      </c>
      <c r="AC19" s="326">
        <f t="shared" si="8"/>
        <v>0</v>
      </c>
      <c r="AD19" s="326">
        <f t="shared" si="9"/>
        <v>0</v>
      </c>
      <c r="AE19" s="326">
        <f>$AB19*AA19</f>
        <v>0</v>
      </c>
      <c r="AF19" s="326"/>
      <c r="AG19" s="252">
        <f t="shared" si="11"/>
        <v>0</v>
      </c>
    </row>
    <row r="20" spans="2:34" s="68" customFormat="1" ht="15.6" customHeight="1" x14ac:dyDescent="0.3">
      <c r="B20" s="116" t="str">
        <f t="shared" si="13"/>
        <v>1402</v>
      </c>
      <c r="C20" s="116"/>
      <c r="D20" s="116" t="s">
        <v>48</v>
      </c>
      <c r="E20" s="166" t="s">
        <v>35</v>
      </c>
      <c r="F20" s="154" t="str">
        <f>IFERROR(VLOOKUP(E20,COLABORADORES!$B$3:$J$60,2,0),"")</f>
        <v>SUR ORIENTE</v>
      </c>
      <c r="G20" s="169" t="str">
        <f>IFERROR(VLOOKUP(B20,COLABORADORES!$B$3:$J$60,3,0),"")</f>
        <v>CONSUMO</v>
      </c>
      <c r="H20" s="154" t="str">
        <f>IFERROR(VLOOKUP(E20,COLABORADORES!$B$3:$J$60,5,0),"")</f>
        <v>Vacante</v>
      </c>
      <c r="I20" s="341" t="str">
        <f>IFERROR(VLOOKUP(E20,COLABORADORES!$B$3:$J$60,6,0),"")</f>
        <v>N/A: VACANTE</v>
      </c>
      <c r="J20" s="161">
        <f>SUM(SUMIF('SOPORTE VENTAS'!$C:$C,E20,'SOPORTE VENTAS'!$N:$N))</f>
        <v>105.1885919939875</v>
      </c>
      <c r="K20" s="161">
        <f>SUM(SUMIF('SOPORTE VENTAS'!$C:$C,E20,'SOPORTE VENTAS'!$K:$K))</f>
        <v>26.665666500000004</v>
      </c>
      <c r="L20" s="162">
        <f t="shared" ref="L20:L26" si="16">IFERROR(K20/J20,"")</f>
        <v>0.25350340749426697</v>
      </c>
      <c r="M20" s="241">
        <f>SUMIF('SOPORTE VENTAS'!$C:$C,E20,'SOPORTE VENTAS'!$O:$O)</f>
        <v>63.545360786875946</v>
      </c>
      <c r="N20" s="653">
        <f>SUMIF('SOPORTE VENTAS'!$C:$C,E20,'SOPORTE VENTAS'!$L:$L)</f>
        <v>182.79229624999996</v>
      </c>
      <c r="O20" s="240">
        <f t="shared" si="15"/>
        <v>2.8765639849471456</v>
      </c>
      <c r="P20" s="155">
        <f t="shared" ref="P20:Q22" si="17">SUM(J20,M20)</f>
        <v>168.73395278086343</v>
      </c>
      <c r="Q20" s="155">
        <f t="shared" si="17"/>
        <v>209.45796274999998</v>
      </c>
      <c r="R20" s="157">
        <f>IFERROR(Q20/P20,"")</f>
        <v>1.2413504176128989</v>
      </c>
      <c r="S20" s="483">
        <f>(IFERROR(VLOOKUP(B20,'SOPORTE RECAUDOS'!$A$5:$E$27,5,0),0)/1000000)</f>
        <v>171.317036</v>
      </c>
      <c r="T20" s="484">
        <f>(IFERROR(VLOOKUP(B20,'SOPORTE RECAUDOS'!$A$4:$H$27,8,0),0)/1000000)</f>
        <v>242.111018</v>
      </c>
      <c r="U20" s="240">
        <f t="shared" ref="U20:U26" si="18">IFERROR(T20/S20,0)</f>
        <v>1.4132337545228135</v>
      </c>
      <c r="V20" s="226">
        <f>IF(L20&lt;'ACELERADORES DE CUMPLIMIENTO'!$G$4,0,IF(L20&lt;'ACELERADORES DE CUMPLIMIENTO'!$G$6,'ACELERADORES DE CUMPLIMIENTO'!$H$5,IF(L20&lt;='ACELERADORES DE CUMPLIMIENTO'!$G$8,'ACELERADORES DE CUMPLIMIENTO'!$H$7,IF(L20&lt;='ACELERADORES DE CUMPLIMIENTO'!$G$11,'TABLA DE LIQUIDACION RV'!L20,IF(L20&lt;'ACELERADORES DE CUMPLIMIENTO'!$G$13,((('TABLA DE LIQUIDACION RV'!L20-1)*2)+1),IF(L20&lt;'ACELERADORES DE CUMPLIMIENTO'!$G$15,((('TABLA DE LIQUIDACION RV'!L20-1)*3)+1),190%))))))</f>
        <v>0</v>
      </c>
      <c r="W20" s="158">
        <f>IF(O20&lt;'ACELERADORES DE CUMPLIMIENTO'!$G$4,0,IF(O20&lt;'ACELERADORES DE CUMPLIMIENTO'!$G$6,'ACELERADORES DE CUMPLIMIENTO'!$H$5,IF(O20&lt;='ACELERADORES DE CUMPLIMIENTO'!$G$8,'ACELERADORES DE CUMPLIMIENTO'!$H$7,IF(O20&lt;='ACELERADORES DE CUMPLIMIENTO'!$G$11,'TABLA DE LIQUIDACION RV'!O20,IF(O20&lt;'ACELERADORES DE CUMPLIMIENTO'!$G$13,((('TABLA DE LIQUIDACION RV'!O20-1)*2)+1),IF(O20&lt;'ACELERADORES DE CUMPLIMIENTO'!$G$15,((('TABLA DE LIQUIDACION RV'!O20-1)*3)+1),190%))))))</f>
        <v>1.9</v>
      </c>
      <c r="X20" s="227">
        <f>IF(U20&lt;'ACELERADORES DE CUMPLIMIENTO'!$G$4,0,IF(U20&lt;'ACELERADORES DE CUMPLIMIENTO'!$G$6,'ACELERADORES DE CUMPLIMIENTO'!$H$5,IF(U20&lt;='ACELERADORES DE CUMPLIMIENTO'!$G$8,'ACELERADORES DE CUMPLIMIENTO'!$H$7,IF(U20&lt;='ACELERADORES DE CUMPLIMIENTO'!$G$11,'TABLA DE LIQUIDACION RV'!U20,IF(U20&lt;'ACELERADORES DE CUMPLIMIENTO'!$G$13,((('TABLA DE LIQUIDACION RV'!U20-1)*2)+1),IF(U20&lt;'ACELERADORES DE CUMPLIMIENTO'!$G$15,((('TABLA DE LIQUIDACION RV'!U20-1)*3)+1),190%))))))</f>
        <v>1.9</v>
      </c>
      <c r="Y20" s="159">
        <f>IF(G20="CONSUMO",V20*$Y$3,V20*$Y$4)</f>
        <v>0</v>
      </c>
      <c r="Z20" s="159">
        <f>IF(G20="CONSUMO",W20*$Z$3,W20*$Z$4)</f>
        <v>1.2349999999999999</v>
      </c>
      <c r="AA20" s="159">
        <f>IF(G20="CONSUMO",X20*$AA$3,X20*$AA$4)</f>
        <v>0.56999999999999995</v>
      </c>
      <c r="AB20" s="236">
        <f>IFERROR(VLOOKUP(I20,COLABORADORES!$G$3:$I$60,3,0),0)</f>
        <v>0</v>
      </c>
      <c r="AC20" s="326">
        <f>$AB20*Y20</f>
        <v>0</v>
      </c>
      <c r="AD20" s="326">
        <f>$AB20*Z20</f>
        <v>0</v>
      </c>
      <c r="AE20" s="326">
        <f>$AB20*AA20</f>
        <v>0</v>
      </c>
      <c r="AF20" s="326"/>
      <c r="AG20" s="252">
        <f>SUM(AC20:AF20)</f>
        <v>0</v>
      </c>
    </row>
    <row r="21" spans="2:34" s="68" customFormat="1" ht="15.6" customHeight="1" x14ac:dyDescent="0.3">
      <c r="B21" s="116" t="str">
        <f t="shared" si="13"/>
        <v>1404</v>
      </c>
      <c r="C21" s="116"/>
      <c r="D21" s="116" t="s">
        <v>48</v>
      </c>
      <c r="E21" s="166" t="s">
        <v>37</v>
      </c>
      <c r="F21" s="154" t="str">
        <f>IFERROR(VLOOKUP(E21,COLABORADORES!$B$3:$J$60,2,0),"")</f>
        <v>SUR ORIENTE</v>
      </c>
      <c r="G21" s="169" t="str">
        <f>IFERROR(VLOOKUP(B21,COLABORADORES!$B$3:$J$60,3,0),"")</f>
        <v>CONSUMO</v>
      </c>
      <c r="H21" s="154" t="str">
        <f>IFERROR(VLOOKUP(E21,COLABORADORES!$B$3:$J$60,5,0),"")</f>
        <v>Vacante</v>
      </c>
      <c r="I21" s="341" t="str">
        <f>IFERROR(VLOOKUP(E21,COLABORADORES!$B$3:$J$60,6,0),"")</f>
        <v>N/A: VACANTE</v>
      </c>
      <c r="J21" s="161">
        <f>SUM(SUMIF('SOPORTE VENTAS'!$C:$C,E21,'SOPORTE VENTAS'!$N:$N))</f>
        <v>102.21167912422399</v>
      </c>
      <c r="K21" s="161">
        <f>SUM(SUMIF('SOPORTE VENTAS'!$C:$C,E21,'SOPORTE VENTAS'!$K:$K))</f>
        <v>124.29643193</v>
      </c>
      <c r="L21" s="162">
        <f t="shared" si="16"/>
        <v>1.2160687799574752</v>
      </c>
      <c r="M21" s="241">
        <f>SUMIF('SOPORTE VENTAS'!$C:$C,E21,'SOPORTE VENTAS'!$O:$O)</f>
        <v>28.760918203823973</v>
      </c>
      <c r="N21" s="653">
        <f>SUMIF('SOPORTE VENTAS'!$C:$C,E21,'SOPORTE VENTAS'!$L:$L)</f>
        <v>36.485769713099998</v>
      </c>
      <c r="O21" s="240">
        <f t="shared" si="15"/>
        <v>1.2685884871453426</v>
      </c>
      <c r="P21" s="155">
        <f t="shared" si="17"/>
        <v>130.97259732804795</v>
      </c>
      <c r="Q21" s="155">
        <f t="shared" si="17"/>
        <v>160.7822016431</v>
      </c>
      <c r="R21" s="157">
        <f>IFERROR(Q21/P21,"")</f>
        <v>1.2276018413255387</v>
      </c>
      <c r="S21" s="483">
        <f>(IFERROR(VLOOKUP(B21,'SOPORTE RECAUDOS'!$A$5:$E$27,5,0),0)/1000000)</f>
        <v>214.67228499999999</v>
      </c>
      <c r="T21" s="484">
        <f>(IFERROR(VLOOKUP(B21,'SOPORTE RECAUDOS'!$A$4:$H$27,8,0),0)/1000000)</f>
        <v>362.62955199999999</v>
      </c>
      <c r="U21" s="240">
        <f t="shared" si="18"/>
        <v>1.6892238884027344</v>
      </c>
      <c r="V21" s="309">
        <f>IF(L21&lt;'ACELERADORES DE CUMPLIMIENTO'!$G$4,0,IF(L21&lt;'ACELERADORES DE CUMPLIMIENTO'!$G$6,'ACELERADORES DE CUMPLIMIENTO'!$H$5,IF(L21&lt;='ACELERADORES DE CUMPLIMIENTO'!$G$8,'ACELERADORES DE CUMPLIMIENTO'!$H$7,IF(L21&lt;='ACELERADORES DE CUMPLIMIENTO'!$G$11,'TABLA DE LIQUIDACION RV'!L21,IF(L21&lt;'ACELERADORES DE CUMPLIMIENTO'!$G$13,((('TABLA DE LIQUIDACION RV'!L21-1)*2)+1),IF(L21&lt;'ACELERADORES DE CUMPLIMIENTO'!$G$15,((('TABLA DE LIQUIDACION RV'!L21-1)*3)+1),190%))))))</f>
        <v>1.6482063398724256</v>
      </c>
      <c r="W21" s="286">
        <f>IF(O21&lt;'ACELERADORES DE CUMPLIMIENTO'!$G$4,0,IF(O21&lt;'ACELERADORES DE CUMPLIMIENTO'!$G$6,'ACELERADORES DE CUMPLIMIENTO'!$H$5,IF(O21&lt;='ACELERADORES DE CUMPLIMIENTO'!$G$8,'ACELERADORES DE CUMPLIMIENTO'!$H$7,IF(O21&lt;='ACELERADORES DE CUMPLIMIENTO'!$G$11,'TABLA DE LIQUIDACION RV'!O21,IF(O21&lt;'ACELERADORES DE CUMPLIMIENTO'!$G$13,((('TABLA DE LIQUIDACION RV'!O21-1)*2)+1),IF(O21&lt;'ACELERADORES DE CUMPLIMIENTO'!$G$15,((('TABLA DE LIQUIDACION RV'!O21-1)*3)+1),190%))))))</f>
        <v>1.8057654614360277</v>
      </c>
      <c r="X21" s="310">
        <f>IF(U21&lt;'ACELERADORES DE CUMPLIMIENTO'!$G$4,0,IF(U21&lt;'ACELERADORES DE CUMPLIMIENTO'!$G$6,'ACELERADORES DE CUMPLIMIENTO'!$H$5,IF(U21&lt;='ACELERADORES DE CUMPLIMIENTO'!$G$8,'ACELERADORES DE CUMPLIMIENTO'!$H$7,IF(U21&lt;='ACELERADORES DE CUMPLIMIENTO'!$G$11,'TABLA DE LIQUIDACION RV'!U21,IF(U21&lt;'ACELERADORES DE CUMPLIMIENTO'!$G$13,((('TABLA DE LIQUIDACION RV'!U21-1)*2)+1),IF(U21&lt;'ACELERADORES DE CUMPLIMIENTO'!$G$15,((('TABLA DE LIQUIDACION RV'!U21-1)*3)+1),190%))))))</f>
        <v>1.9</v>
      </c>
      <c r="Y21" s="159">
        <f>IF(G21="CONSUMO",V21*$Y$3,V21*$Y$4)</f>
        <v>8.241031699362128E-2</v>
      </c>
      <c r="Z21" s="159">
        <f>IF(G21="CONSUMO",W21*$Z$3,W21*$Z$4)</f>
        <v>1.173747549933418</v>
      </c>
      <c r="AA21" s="159">
        <f>IF(G21="CONSUMO",X21*$AA$3,X21*$AA$4)</f>
        <v>0.56999999999999995</v>
      </c>
      <c r="AB21" s="238">
        <f>IFERROR(VLOOKUP(I21,COLABORADORES!$G$3:$I$60,3,0),0)</f>
        <v>0</v>
      </c>
      <c r="AC21" s="326">
        <f>$AB21*Y21</f>
        <v>0</v>
      </c>
      <c r="AD21" s="326">
        <f>$AB21*Z21</f>
        <v>0</v>
      </c>
      <c r="AE21" s="326">
        <f>$AB21*AA21</f>
        <v>0</v>
      </c>
      <c r="AF21" s="326"/>
      <c r="AG21" s="252">
        <f>SUM(AC21:AF21)</f>
        <v>0</v>
      </c>
      <c r="AH21" s="110"/>
    </row>
    <row r="22" spans="2:34" s="68" customFormat="1" ht="15.6" customHeight="1" x14ac:dyDescent="0.3">
      <c r="B22" s="116" t="str">
        <f t="shared" si="13"/>
        <v>1403</v>
      </c>
      <c r="C22" s="116"/>
      <c r="D22" s="116" t="s">
        <v>48</v>
      </c>
      <c r="E22" s="210" t="s">
        <v>36</v>
      </c>
      <c r="F22" s="208" t="str">
        <f>IFERROR(VLOOKUP(E22,COLABORADORES!$B$3:$J$60,2,0),"")</f>
        <v>SUR ORIENTE (PANADERIA)</v>
      </c>
      <c r="G22" s="209" t="str">
        <f>IFERROR(VLOOKUP(B22,COLABORADORES!$B$3:$J$60,3,0),"")</f>
        <v>PANADERIA</v>
      </c>
      <c r="H22" s="829" t="str">
        <f>IFERROR(VLOOKUP(E22,COLABORADORES!$B$3:$J$60,5,0),"")</f>
        <v>MARTINEZ GUERRERO YULI ANDREA</v>
      </c>
      <c r="I22" s="701">
        <f>IFERROR(VLOOKUP(E22,COLABORADORES!$B$3:$J$60,6,0),"")</f>
        <v>1114388535</v>
      </c>
      <c r="J22" s="218">
        <f>SUM(SUMIF('SOPORTE VENTAS'!$C:$C,E22,'SOPORTE VENTAS'!$N:$N))</f>
        <v>0</v>
      </c>
      <c r="K22" s="218">
        <f>SUM(SUMIF('SOPORTE VENTAS'!$C:$C,E22,'SOPORTE VENTAS'!$K:$K))</f>
        <v>0</v>
      </c>
      <c r="L22" s="277" t="str">
        <f t="shared" si="16"/>
        <v/>
      </c>
      <c r="M22" s="242">
        <f>SUMIF('SOPORTE VENTAS'!$C:$C,E22,'SOPORTE VENTAS'!$O:$O)</f>
        <v>168.3255261506597</v>
      </c>
      <c r="N22" s="655">
        <f>SUMIF('SOPORTE VENTAS'!$C:$C,E22,'SOPORTE VENTAS'!$L:$L)</f>
        <v>208.37759338999999</v>
      </c>
      <c r="O22" s="278">
        <f t="shared" si="15"/>
        <v>1.2379441083908551</v>
      </c>
      <c r="P22" s="216">
        <f t="shared" si="17"/>
        <v>168.3255261506597</v>
      </c>
      <c r="Q22" s="216">
        <f t="shared" si="17"/>
        <v>208.37759338999999</v>
      </c>
      <c r="R22" s="217">
        <f>IFERROR(Q22/P22,"")</f>
        <v>1.2379441083908551</v>
      </c>
      <c r="S22" s="481">
        <f>(IFERROR(VLOOKUP(B22,'SOPORTE RECAUDOS'!$A$5:$E$27,5,0),0)/1000000)</f>
        <v>41.377355999999999</v>
      </c>
      <c r="T22" s="482">
        <f>(IFERROR(VLOOKUP(B22,'SOPORTE RECAUDOS'!$A$4:$H$27,8,0),0)/1000000)</f>
        <v>254.88777999999999</v>
      </c>
      <c r="U22" s="278">
        <f t="shared" si="18"/>
        <v>6.1600789571958154</v>
      </c>
      <c r="V22" s="230">
        <f>IF(L22&lt;'ACELERADORES DE CUMPLIMIENTO'!$G$4,0,IF(L22&lt;'ACELERADORES DE CUMPLIMIENTO'!$G$6,'ACELERADORES DE CUMPLIMIENTO'!$H$5,IF(L22&lt;='ACELERADORES DE CUMPLIMIENTO'!$G$8,'ACELERADORES DE CUMPLIMIENTO'!$H$7,IF(L22&lt;='ACELERADORES DE CUMPLIMIENTO'!$G$11,'TABLA DE LIQUIDACION RV'!L22,IF(L22&lt;'ACELERADORES DE CUMPLIMIENTO'!$G$13,((('TABLA DE LIQUIDACION RV'!L22-1)*2)+1),IF(L22&lt;'ACELERADORES DE CUMPLIMIENTO'!$G$15,((('TABLA DE LIQUIDACION RV'!L22-1)*3)+1),190%))))))</f>
        <v>1.9</v>
      </c>
      <c r="W22" s="219">
        <f>IF(O22&lt;'ACELERADORES DE CUMPLIMIENTO'!$G$4,0,IF(O22&lt;'ACELERADORES DE CUMPLIMIENTO'!$G$6,'ACELERADORES DE CUMPLIMIENTO'!$H$5,IF(O22&lt;='ACELERADORES DE CUMPLIMIENTO'!$G$8,'ACELERADORES DE CUMPLIMIENTO'!$H$7,IF(O22&lt;='ACELERADORES DE CUMPLIMIENTO'!$G$11,'TABLA DE LIQUIDACION RV'!O22,IF(O22&lt;'ACELERADORES DE CUMPLIMIENTO'!$G$13,((('TABLA DE LIQUIDACION RV'!O22-1)*2)+1),IF(O22&lt;'ACELERADORES DE CUMPLIMIENTO'!$G$15,((('TABLA DE LIQUIDACION RV'!O22-1)*3)+1),190%))))))</f>
        <v>1.7138323251725653</v>
      </c>
      <c r="X22" s="231">
        <f>IF(U22&lt;'ACELERADORES DE CUMPLIMIENTO'!$G$4,0,IF(U22&lt;'ACELERADORES DE CUMPLIMIENTO'!$G$6,'ACELERADORES DE CUMPLIMIENTO'!$H$5,IF(U22&lt;='ACELERADORES DE CUMPLIMIENTO'!$G$8,'ACELERADORES DE CUMPLIMIENTO'!$H$7,IF(U22&lt;='ACELERADORES DE CUMPLIMIENTO'!$G$11,'TABLA DE LIQUIDACION RV'!U22,IF(U22&lt;'ACELERADORES DE CUMPLIMIENTO'!$G$13,((('TABLA DE LIQUIDACION RV'!U22-1)*2)+1),IF(U22&lt;'ACELERADORES DE CUMPLIMIENTO'!$G$15,((('TABLA DE LIQUIDACION RV'!U22-1)*3)+1),190%))))))</f>
        <v>1.9</v>
      </c>
      <c r="Y22" s="254">
        <f>IF(G22="CONSUMO",V22*$Y$3,V22*$Y$4)</f>
        <v>0</v>
      </c>
      <c r="Z22" s="220">
        <f>IF(G22="CONSUMO",W22*$Z$3,W22*$Z$4)</f>
        <v>1.1996826276207957</v>
      </c>
      <c r="AA22" s="255">
        <f>IF(G22="CONSUMO",X22*$AA$3,X22*$AA$4)</f>
        <v>0.56999999999999995</v>
      </c>
      <c r="AB22" s="297">
        <f>(IFERROR(VLOOKUP(I22,COLABORADORES!$G$3:$I$60,3,0),0)*35%)</f>
        <v>183390.9</v>
      </c>
      <c r="AC22" s="221">
        <f t="shared" ref="AC22:AC27" si="19">$AB22*Y22</f>
        <v>0</v>
      </c>
      <c r="AD22" s="221">
        <f>AB22*Z22</f>
        <v>220010.87679374259</v>
      </c>
      <c r="AE22" s="221">
        <f>AA22*AB22</f>
        <v>104532.81299999999</v>
      </c>
      <c r="AF22" s="221"/>
      <c r="AG22" s="948">
        <f>SUM(AC22:AE23)</f>
        <v>823081.64057737251</v>
      </c>
      <c r="AH22" s="110"/>
    </row>
    <row r="23" spans="2:34" s="68" customFormat="1" ht="15.6" customHeight="1" x14ac:dyDescent="0.3">
      <c r="B23" s="116" t="str">
        <f t="shared" si="13"/>
        <v>1405</v>
      </c>
      <c r="C23" s="116"/>
      <c r="D23" s="116" t="s">
        <v>48</v>
      </c>
      <c r="E23" s="166" t="s">
        <v>173</v>
      </c>
      <c r="F23" s="154" t="str">
        <f>IFERROR(VLOOKUP(E23,COLABORADORES!$B$3:$J$60,2,0),"")</f>
        <v>SUR ORIENTE (CONSUMO)</v>
      </c>
      <c r="G23" s="169" t="str">
        <f>IFERROR(VLOOKUP(B23,COLABORADORES!$B$3:$J$60,3,0),"")</f>
        <v>CONSUMO</v>
      </c>
      <c r="H23" s="830" t="str">
        <f>IFERROR(VLOOKUP(E23,COLABORADORES!$B$3:$J$60,5,0),"")</f>
        <v>MARTINEZ GUERRERO YULI ANDREA</v>
      </c>
      <c r="I23" s="341">
        <f>IFERROR(VLOOKUP(E23,COLABORADORES!$B$3:$J$60,6,0),"")</f>
        <v>1114388535</v>
      </c>
      <c r="J23" s="161">
        <f>SUM(SUMIF('SOPORTE VENTAS'!$C:$C,E23,'SOPORTE VENTAS'!$N:$N))</f>
        <v>44.376435494075601</v>
      </c>
      <c r="K23" s="161">
        <f>SUM(SUMIF('SOPORTE VENTAS'!$C:$C,E23,'SOPORTE VENTAS'!$K:$K))</f>
        <v>75.978912701758631</v>
      </c>
      <c r="L23" s="162">
        <f t="shared" si="16"/>
        <v>1.7121454631456838</v>
      </c>
      <c r="M23" s="241">
        <f>SUMIF('SOPORTE VENTAS'!$C:$C,E23,'SOPORTE VENTAS'!$O:$O)</f>
        <v>105.35583869519009</v>
      </c>
      <c r="N23" s="653">
        <f>SUMIF('SOPORTE VENTAS'!$C:$C,E23,'SOPORTE VENTAS'!$L:$L)</f>
        <v>132.84440409639998</v>
      </c>
      <c r="O23" s="240">
        <f t="shared" si="15"/>
        <v>1.2609116470586728</v>
      </c>
      <c r="P23" s="167"/>
      <c r="Q23" s="167"/>
      <c r="R23" s="167"/>
      <c r="S23" s="483">
        <f>(IFERROR(VLOOKUP(B23,'SOPORTE RECAUDOS'!$A$5:$E$27,5,0),0)/1000000)</f>
        <v>329.00230299999998</v>
      </c>
      <c r="T23" s="484">
        <f>(IFERROR(VLOOKUP(B23,'SOPORTE RECAUDOS'!$A$4:$H$27,8,0),0)/1000000)</f>
        <v>300.38379600000002</v>
      </c>
      <c r="U23" s="240">
        <f t="shared" si="18"/>
        <v>0.91301426543509645</v>
      </c>
      <c r="V23" s="226">
        <f>IF(L23&lt;'ACELERADORES DE CUMPLIMIENTO'!$G$4,0,IF(L23&lt;'ACELERADORES DE CUMPLIMIENTO'!$G$6,'ACELERADORES DE CUMPLIMIENTO'!$H$5,IF(L23&lt;='ACELERADORES DE CUMPLIMIENTO'!$G$8,'ACELERADORES DE CUMPLIMIENTO'!$H$7,IF(L23&lt;='ACELERADORES DE CUMPLIMIENTO'!$G$11,'TABLA DE LIQUIDACION RV'!L23,IF(L23&lt;'ACELERADORES DE CUMPLIMIENTO'!$G$13,((('TABLA DE LIQUIDACION RV'!L23-1)*2)+1),IF(L23&lt;'ACELERADORES DE CUMPLIMIENTO'!$G$15,((('TABLA DE LIQUIDACION RV'!L23-1)*3)+1),190%))))))</f>
        <v>1.9</v>
      </c>
      <c r="W23" s="158">
        <f>IF(O23&lt;'ACELERADORES DE CUMPLIMIENTO'!$G$4,0,IF(O23&lt;'ACELERADORES DE CUMPLIMIENTO'!$G$6,'ACELERADORES DE CUMPLIMIENTO'!$H$5,IF(O23&lt;='ACELERADORES DE CUMPLIMIENTO'!$G$8,'ACELERADORES DE CUMPLIMIENTO'!$H$7,IF(O23&lt;='ACELERADORES DE CUMPLIMIENTO'!$G$11,'TABLA DE LIQUIDACION RV'!O23,IF(O23&lt;'ACELERADORES DE CUMPLIMIENTO'!$G$13,((('TABLA DE LIQUIDACION RV'!O23-1)*2)+1),IF(O23&lt;'ACELERADORES DE CUMPLIMIENTO'!$G$15,((('TABLA DE LIQUIDACION RV'!O23-1)*3)+1),190%))))))</f>
        <v>1.7827349411760183</v>
      </c>
      <c r="X23" s="227">
        <f>IF(U23&lt;'ACELERADORES DE CUMPLIMIENTO'!$G$4,0,IF(U23&lt;'ACELERADORES DE CUMPLIMIENTO'!$G$6,'ACELERADORES DE CUMPLIMIENTO'!$H$5,IF(U23&lt;='ACELERADORES DE CUMPLIMIENTO'!$G$8,'ACELERADORES DE CUMPLIMIENTO'!$H$7,IF(U23&lt;='ACELERADORES DE CUMPLIMIENTO'!$G$11,'TABLA DE LIQUIDACION RV'!U23,IF(U23&lt;'ACELERADORES DE CUMPLIMIENTO'!$G$13,((('TABLA DE LIQUIDACION RV'!U23-1)*2)+1),IF(U23&lt;'ACELERADORES DE CUMPLIMIENTO'!$G$15,((('TABLA DE LIQUIDACION RV'!U23-1)*3)+1),190%))))))</f>
        <v>0.7</v>
      </c>
      <c r="Y23" s="256">
        <f>IF(G23="CONSUMO",V23*$Y$3,V23*$Y$4)</f>
        <v>9.5000000000000001E-2</v>
      </c>
      <c r="Z23" s="159">
        <f>IF(G23="CONSUMO",W23*$Z$3,W23*$Z$4)</f>
        <v>1.158777711764412</v>
      </c>
      <c r="AA23" s="257">
        <f>IF(G23="CONSUMO",X23*$AA$3,X23*$AA$4)</f>
        <v>0.21</v>
      </c>
      <c r="AB23" s="298">
        <f>(IFERROR(VLOOKUP(I23,COLABORADORES!$G$3:$I$60,3,0),0)*65%)</f>
        <v>340583.10000000003</v>
      </c>
      <c r="AC23" s="326">
        <f t="shared" si="19"/>
        <v>32355.394500000002</v>
      </c>
      <c r="AD23" s="326">
        <f t="shared" ref="AD23:AE26" si="20">$AB23*Z23</f>
        <v>394660.10528362996</v>
      </c>
      <c r="AE23" s="326">
        <f t="shared" si="20"/>
        <v>71522.451000000001</v>
      </c>
      <c r="AF23" s="167"/>
      <c r="AG23" s="949"/>
    </row>
    <row r="24" spans="2:34" s="68" customFormat="1" ht="15.6" customHeight="1" thickBot="1" x14ac:dyDescent="0.35">
      <c r="B24" s="116" t="str">
        <f t="shared" si="13"/>
        <v>TC</v>
      </c>
      <c r="C24" s="116"/>
      <c r="D24" s="116" t="s">
        <v>114</v>
      </c>
      <c r="E24" s="166" t="s">
        <v>185</v>
      </c>
      <c r="F24" s="154" t="s">
        <v>297</v>
      </c>
      <c r="G24" s="169" t="str">
        <f>IFERROR(VLOOKUP(B25,COLABORADORES!$B$3:$J$60,3,0),"")</f>
        <v>CONSUMO</v>
      </c>
      <c r="H24" s="830" t="str">
        <f>IFERROR(VLOOKUP(E24,COLABORADORES!$B$3:$J$60,5,0),"")</f>
        <v/>
      </c>
      <c r="I24" s="341" t="str">
        <f>IFERROR(VLOOKUP(E24,COLABORADORES!$B$3:$J$60,6,0),"")</f>
        <v/>
      </c>
      <c r="J24" s="727">
        <f>J22+J23</f>
        <v>44.376435494075601</v>
      </c>
      <c r="K24" s="727">
        <f>K22+K23</f>
        <v>75.978912701758631</v>
      </c>
      <c r="L24" s="728">
        <f t="shared" si="16"/>
        <v>1.7121454631456838</v>
      </c>
      <c r="M24" s="716">
        <f>M22+M23</f>
        <v>273.68136484584977</v>
      </c>
      <c r="N24" s="717">
        <f>N22+N23</f>
        <v>341.22199748639997</v>
      </c>
      <c r="O24" s="718">
        <f t="shared" si="15"/>
        <v>1.2467856467998553</v>
      </c>
      <c r="P24" s="727"/>
      <c r="Q24" s="727"/>
      <c r="R24" s="729"/>
      <c r="S24" s="730">
        <f>S22+S23</f>
        <v>370.379659</v>
      </c>
      <c r="T24" s="731">
        <f>T22+T23</f>
        <v>555.27157599999998</v>
      </c>
      <c r="U24" s="718">
        <f t="shared" si="18"/>
        <v>1.4991956564223738</v>
      </c>
      <c r="V24" s="719">
        <f>IF(L24&lt;'ACELERADORES DE CUMPLIMIENTO'!$G$4,0,IF(L24&lt;'ACELERADORES DE CUMPLIMIENTO'!$G$6,'ACELERADORES DE CUMPLIMIENTO'!$H$5,IF(L24&lt;='ACELERADORES DE CUMPLIMIENTO'!$G$8,'ACELERADORES DE CUMPLIMIENTO'!$H$7,IF(L24&lt;='ACELERADORES DE CUMPLIMIENTO'!$G$11,'TABLA DE LIQUIDACION RV'!L24,IF(L24&lt;'ACELERADORES DE CUMPLIMIENTO'!$G$13,((('TABLA DE LIQUIDACION RV'!L24-1)*2)+1),IF(L24&lt;'ACELERADORES DE CUMPLIMIENTO'!$G$15,((('TABLA DE LIQUIDACION RV'!L24-1)*3)+1),190%))))))</f>
        <v>1.9</v>
      </c>
      <c r="W24" s="720">
        <f>IF(O24&lt;'ACELERADORES DE CUMPLIMIENTO'!$G$4,0,IF(O24&lt;'ACELERADORES DE CUMPLIMIENTO'!$G$6,'ACELERADORES DE CUMPLIMIENTO'!$H$5,IF(O24&lt;='ACELERADORES DE CUMPLIMIENTO'!$G$8,'ACELERADORES DE CUMPLIMIENTO'!$H$7,IF(O24&lt;='ACELERADORES DE CUMPLIMIENTO'!$G$11,'TABLA DE LIQUIDACION RV'!O24,IF(O24&lt;'ACELERADORES DE CUMPLIMIENTO'!$G$13,((('TABLA DE LIQUIDACION RV'!O24-1)*2)+1),IF(O24&lt;'ACELERADORES DE CUMPLIMIENTO'!$G$15,((('TABLA DE LIQUIDACION RV'!O24-1)*3)+1),190%))))))</f>
        <v>1.7403569403995658</v>
      </c>
      <c r="X24" s="721">
        <f>IF(U24&lt;'ACELERADORES DE CUMPLIMIENTO'!$G$4,0,IF(U24&lt;'ACELERADORES DE CUMPLIMIENTO'!$G$6,'ACELERADORES DE CUMPLIMIENTO'!$H$5,IF(U24&lt;='ACELERADORES DE CUMPLIMIENTO'!$G$8,'ACELERADORES DE CUMPLIMIENTO'!$H$7,IF(U24&lt;='ACELERADORES DE CUMPLIMIENTO'!$G$11,'TABLA DE LIQUIDACION RV'!U24,IF(U24&lt;'ACELERADORES DE CUMPLIMIENTO'!$G$13,((('TABLA DE LIQUIDACION RV'!U24-1)*2)+1),IF(U24&lt;'ACELERADORES DE CUMPLIMIENTO'!$G$15,((('TABLA DE LIQUIDACION RV'!U24-1)*3)+1),190%))))))</f>
        <v>1.9</v>
      </c>
      <c r="Y24" s="719">
        <f>V24*Y$3</f>
        <v>9.5000000000000001E-2</v>
      </c>
      <c r="Z24" s="720">
        <f>W24*Z$3</f>
        <v>1.1312320112597178</v>
      </c>
      <c r="AA24" s="721">
        <f>X24*AA$3</f>
        <v>0.56999999999999995</v>
      </c>
      <c r="AB24" s="236"/>
      <c r="AC24" s="326">
        <f>AC22+AC23</f>
        <v>32355.394500000002</v>
      </c>
      <c r="AD24" s="326">
        <f t="shared" ref="AD24:AE24" si="21">AD22+AD23</f>
        <v>614670.98207737249</v>
      </c>
      <c r="AE24" s="326">
        <f t="shared" si="21"/>
        <v>176055.264</v>
      </c>
      <c r="AF24" s="326"/>
      <c r="AG24" s="950"/>
    </row>
    <row r="25" spans="2:34" s="68" customFormat="1" ht="15.6" customHeight="1" x14ac:dyDescent="0.3">
      <c r="B25" s="116" t="str">
        <f t="shared" si="13"/>
        <v>SUPCONS</v>
      </c>
      <c r="C25" s="116"/>
      <c r="D25" s="144" t="s">
        <v>152</v>
      </c>
      <c r="E25" s="620" t="s">
        <v>298</v>
      </c>
      <c r="F25" s="732" t="str">
        <f>IFERROR(VLOOKUP(E25,COLABORADORES!$B$3:$J$60,2,0),"")</f>
        <v>CONUMO BOGOTA</v>
      </c>
      <c r="G25" s="621" t="str">
        <f>IFERROR(VLOOKUP(E25,COLABORADORES!$B$3:$J$60,3,0),"")</f>
        <v>CONSUMO</v>
      </c>
      <c r="H25" s="622" t="str">
        <f>IFERROR(VLOOKUP(E25,COLABORADORES!$B$3:$J$60,5,0),"")</f>
        <v>FONTECHA GONZALEZ HERNANDO</v>
      </c>
      <c r="I25" s="733">
        <f>IFERROR(VLOOKUP(E25,COLABORADORES!$B$3:$J$60,6,0),"")</f>
        <v>13957442</v>
      </c>
      <c r="J25" s="623">
        <f>SUMIF(D5:D24,D25,J5:J24)</f>
        <v>127.11281659991839</v>
      </c>
      <c r="K25" s="623">
        <f>SUMIF(D5:D24,D25,K5:K24)</f>
        <v>240.25272459614399</v>
      </c>
      <c r="L25" s="624">
        <f t="shared" si="16"/>
        <v>1.8900747463753254</v>
      </c>
      <c r="M25" s="625">
        <f>SUMIF(D5:D24,D25,M5:M24)</f>
        <v>349.27726047935062</v>
      </c>
      <c r="N25" s="656">
        <f>SUMIF(D5:D24,D25,N5:N24)</f>
        <v>414.79641415188564</v>
      </c>
      <c r="O25" s="626">
        <f t="shared" si="15"/>
        <v>1.187584939204505</v>
      </c>
      <c r="P25" s="623">
        <f>SUM(J25,M25)</f>
        <v>476.39007707926902</v>
      </c>
      <c r="Q25" s="623">
        <f>SUM(K25,N25)</f>
        <v>655.04913874802969</v>
      </c>
      <c r="R25" s="627">
        <f>IFERROR(Q25/P25,"")</f>
        <v>1.3750268325572883</v>
      </c>
      <c r="S25" s="628">
        <f>SUMIF(D5:D24,D25,S5:S24)</f>
        <v>438.32711400000005</v>
      </c>
      <c r="T25" s="629">
        <f>SUMIF(D5:D24,D25,T5:T24)</f>
        <v>566.660842</v>
      </c>
      <c r="U25" s="626">
        <f t="shared" si="18"/>
        <v>1.2927807199259864</v>
      </c>
      <c r="V25" s="630">
        <f>IF(L25&lt;'ACELERADORES DE CUMPLIMIENTO'!$G$4,0,IF(L25&lt;'ACELERADORES DE CUMPLIMIENTO'!$G$6,'ACELERADORES DE CUMPLIMIENTO'!$H$5,IF(L25&lt;='ACELERADORES DE CUMPLIMIENTO'!$G$8,'ACELERADORES DE CUMPLIMIENTO'!$H$7,IF(L25&lt;='ACELERADORES DE CUMPLIMIENTO'!$G$11,'TABLA DE LIQUIDACION RV'!L25,IF(L25&lt;'ACELERADORES DE CUMPLIMIENTO'!$G$13,((('TABLA DE LIQUIDACION RV'!L25-1)*2)+1),IF(L25&lt;'ACELERADORES DE CUMPLIMIENTO'!$G$15,((('TABLA DE LIQUIDACION RV'!L25-1)*3)+1),190%))))))</f>
        <v>1.9</v>
      </c>
      <c r="W25" s="631">
        <f>IF(O25&lt;'ACELERADORES DE CUMPLIMIENTO'!$G$4,0,IF(O25&lt;'ACELERADORES DE CUMPLIMIENTO'!$G$6,'ACELERADORES DE CUMPLIMIENTO'!$H$5,IF(O25&lt;='ACELERADORES DE CUMPLIMIENTO'!$G$8,'ACELERADORES DE CUMPLIMIENTO'!$H$7,IF(O25&lt;='ACELERADORES DE CUMPLIMIENTO'!$G$11,'TABLA DE LIQUIDACION RV'!O25,IF(O25&lt;'ACELERADORES DE CUMPLIMIENTO'!$G$13,((('TABLA DE LIQUIDACION RV'!O25-1)*2)+1),IF(O25&lt;'ACELERADORES DE CUMPLIMIENTO'!$G$15,((('TABLA DE LIQUIDACION RV'!O25-1)*3)+1),190%))))))</f>
        <v>1.5627548176135151</v>
      </c>
      <c r="X25" s="632">
        <f>IF(U25&lt;'ACELERADORES DE CUMPLIMIENTO'!$G$4,0,IF(U25&lt;'ACELERADORES DE CUMPLIMIENTO'!$G$6,'ACELERADORES DE CUMPLIMIENTO'!$H$5,IF(U25&lt;='ACELERADORES DE CUMPLIMIENTO'!$G$8,'ACELERADORES DE CUMPLIMIENTO'!$H$7,IF(U25&lt;='ACELERADORES DE CUMPLIMIENTO'!$G$11,'TABLA DE LIQUIDACION RV'!U25,IF(U25&lt;'ACELERADORES DE CUMPLIMIENTO'!$G$13,((('TABLA DE LIQUIDACION RV'!U25-1)*2)+1),IF(U25&lt;'ACELERADORES DE CUMPLIMIENTO'!$G$15,((('TABLA DE LIQUIDACION RV'!U25-1)*3)+1),190%))))))</f>
        <v>1.8783421597779593</v>
      </c>
      <c r="Y25" s="633">
        <f>IF(G25="CONSUMO",V25*$Y$3,V25*$Y$4)</f>
        <v>9.5000000000000001E-2</v>
      </c>
      <c r="Z25" s="633">
        <f>IF(G25="CONSUMO",W25*$Z$3,W25*$Z$4)</f>
        <v>1.0157906314487848</v>
      </c>
      <c r="AA25" s="633">
        <f>IF(G25="CONSUMO",X25*$AA$3,X25*$AA$4)</f>
        <v>0.56350264793338778</v>
      </c>
      <c r="AB25" s="634">
        <f>IFERROR(VLOOKUP(I25,COLABORADORES!$G$3:$I$60,3,0),0)</f>
        <v>711106.69079999998</v>
      </c>
      <c r="AC25" s="635">
        <f t="shared" si="19"/>
        <v>67555.135626000003</v>
      </c>
      <c r="AD25" s="635">
        <f t="shared" si="20"/>
        <v>722335.51447518775</v>
      </c>
      <c r="AE25" s="635">
        <f t="shared" si="20"/>
        <v>400710.50322894886</v>
      </c>
      <c r="AF25" s="619"/>
      <c r="AG25" s="712">
        <f>SUM(AC25:AF25)</f>
        <v>1190601.1533301366</v>
      </c>
      <c r="AH25" s="110"/>
    </row>
    <row r="26" spans="2:34" s="68" customFormat="1" ht="15.6" customHeight="1" x14ac:dyDescent="0.3">
      <c r="B26" s="116" t="str">
        <f t="shared" si="13"/>
        <v>SUPNAC.</v>
      </c>
      <c r="C26" s="116"/>
      <c r="D26" s="116" t="s">
        <v>48</v>
      </c>
      <c r="E26" s="734" t="s">
        <v>151</v>
      </c>
      <c r="F26" s="713" t="str">
        <f>IFERROR(VLOOKUP(E26,COLABORADORES!$B$3:$J$60,2,0),"")</f>
        <v>NACIONAL</v>
      </c>
      <c r="G26" s="714" t="str">
        <f>IFERROR(VLOOKUP(E26,COLABORADORES!$B$3:$J$60,3,0),"")</f>
        <v>CONSUMO</v>
      </c>
      <c r="H26" s="702" t="str">
        <f>IFERROR(VLOOKUP(E26,COLABORADORES!$B$3:$J$60,5,0),"")</f>
        <v>RIVEROS TORRES CESAR ARIEL</v>
      </c>
      <c r="I26" s="715">
        <f>IFERROR(VLOOKUP(E26,COLABORADORES!$B$3:$J$60,6,0),"")</f>
        <v>1055312394</v>
      </c>
      <c r="J26" s="703">
        <f>SUMIF(D5:D24,D26,J5:J24)-J15</f>
        <v>257.26792119709711</v>
      </c>
      <c r="K26" s="703">
        <f>SUMIF(D5:D24,D26,K5:K24)-K15</f>
        <v>232.93656243175872</v>
      </c>
      <c r="L26" s="704">
        <f t="shared" si="16"/>
        <v>0.90542404722624648</v>
      </c>
      <c r="M26" s="722">
        <f>SUMIF(D5:D24,D26,M5:M24)-M15</f>
        <v>746.28977831878615</v>
      </c>
      <c r="N26" s="705">
        <f ca="1">SUMIF(D5:D24,D26,N5:N23)-N15</f>
        <v>869.55331265329994</v>
      </c>
      <c r="O26" s="723">
        <f t="shared" ca="1" si="15"/>
        <v>1.165168461254015</v>
      </c>
      <c r="P26" s="707"/>
      <c r="Q26" s="707"/>
      <c r="R26" s="707"/>
      <c r="S26" s="708">
        <f>SUMIF(D5:D24,D26,S5:S24)-S15</f>
        <v>804.00123999999983</v>
      </c>
      <c r="T26" s="708">
        <f>SUMIF(D5:D24,D26,T5:T24)-T15</f>
        <v>1422.1845229999999</v>
      </c>
      <c r="U26" s="706">
        <f t="shared" si="18"/>
        <v>1.7688834945080436</v>
      </c>
      <c r="V26" s="724">
        <f>IF(L26&lt;'ACELERADORES DE CUMPLIMIENTO'!$G$4,0,IF(L26&lt;'ACELERADORES DE CUMPLIMIENTO'!$G$6,'ACELERADORES DE CUMPLIMIENTO'!$H$5,IF(L26&lt;='ACELERADORES DE CUMPLIMIENTO'!$G$8,'ACELERADORES DE CUMPLIMIENTO'!$H$7,IF(L26&lt;='ACELERADORES DE CUMPLIMIENTO'!$G$11,'TABLA DE LIQUIDACION RV'!L26,IF(L26&lt;'ACELERADORES DE CUMPLIMIENTO'!$G$13,((('TABLA DE LIQUIDACION RV'!L26-1)*2)+1),IF(L26&lt;'ACELERADORES DE CUMPLIMIENTO'!$G$15,((('TABLA DE LIQUIDACION RV'!L26-1)*3)+1),190%))))))</f>
        <v>0.7</v>
      </c>
      <c r="W26" s="709">
        <f ca="1">IF(O26&lt;'ACELERADORES DE CUMPLIMIENTO'!$G$4,0,IF(O26&lt;'ACELERADORES DE CUMPLIMIENTO'!$G$6,'ACELERADORES DE CUMPLIMIENTO'!$H$5,IF(O26&lt;='ACELERADORES DE CUMPLIMIENTO'!$G$8,'ACELERADORES DE CUMPLIMIENTO'!$H$7,IF(O26&lt;='ACELERADORES DE CUMPLIMIENTO'!$G$11,'TABLA DE LIQUIDACION RV'!O26,IF(O26&lt;'ACELERADORES DE CUMPLIMIENTO'!$G$13,((('TABLA DE LIQUIDACION RV'!O26-1)*2)+1),IF(O26&lt;'ACELERADORES DE CUMPLIMIENTO'!$G$15,((('TABLA DE LIQUIDACION RV'!O26-1)*3)+1),190%))))))</f>
        <v>1.4955053837620449</v>
      </c>
      <c r="X26" s="725">
        <f>IF(U26&lt;'ACELERADORES DE CUMPLIMIENTO'!$G$4,0,IF(U26&lt;'ACELERADORES DE CUMPLIMIENTO'!$G$6,'ACELERADORES DE CUMPLIMIENTO'!$H$5,IF(U26&lt;='ACELERADORES DE CUMPLIMIENTO'!$G$8,'ACELERADORES DE CUMPLIMIENTO'!$H$7,IF(U26&lt;='ACELERADORES DE CUMPLIMIENTO'!$G$11,'TABLA DE LIQUIDACION RV'!U26,IF(U26&lt;'ACELERADORES DE CUMPLIMIENTO'!$G$13,((('TABLA DE LIQUIDACION RV'!U26-1)*2)+1),IF(U26&lt;'ACELERADORES DE CUMPLIMIENTO'!$G$15,((('TABLA DE LIQUIDACION RV'!U26-1)*3)+1),190%))))))</f>
        <v>1.9</v>
      </c>
      <c r="Y26" s="710">
        <f>IF(G26="CONSUMO",V26*$Y$3,V26*$Y$4)</f>
        <v>3.4999999999999996E-2</v>
      </c>
      <c r="Z26" s="710">
        <f ca="1">IF(G26="CONSUMO",W26*$Z$3,W26*$Z$4)</f>
        <v>0.9720784994453292</v>
      </c>
      <c r="AA26" s="710">
        <f>IF(G26="CONSUMO",X26*$AA$3,X26*$AA$4)</f>
        <v>0.56999999999999995</v>
      </c>
      <c r="AB26" s="726">
        <f>IFERROR(VLOOKUP(I26,COLABORADORES!$G$3:$I$60,3,0),0)</f>
        <v>711106</v>
      </c>
      <c r="AC26" s="711">
        <f t="shared" si="19"/>
        <v>24888.71</v>
      </c>
      <c r="AD26" s="711">
        <f t="shared" ca="1" si="20"/>
        <v>691250.85342657031</v>
      </c>
      <c r="AE26" s="711">
        <f t="shared" si="20"/>
        <v>405330.42</v>
      </c>
      <c r="AF26" s="326"/>
      <c r="AG26" s="615">
        <f ca="1">SUM(AC26:AF26)</f>
        <v>1121469.9834265702</v>
      </c>
    </row>
    <row r="27" spans="2:34" s="68" customFormat="1" ht="15.6" customHeight="1" thickBot="1" x14ac:dyDescent="0.35">
      <c r="B27" s="116" t="str">
        <f t="shared" si="13"/>
        <v>SUPPAN</v>
      </c>
      <c r="C27" s="116"/>
      <c r="D27" s="116" t="s">
        <v>174</v>
      </c>
      <c r="E27" s="636" t="s">
        <v>323</v>
      </c>
      <c r="F27" s="735" t="str">
        <f>IFERROR(VLOOKUP(E27,COLABORADORES!$B$3:$J$60,2,0),"")</f>
        <v>PANADERIA BTÁ</v>
      </c>
      <c r="G27" s="637" t="str">
        <f>IFERROR(VLOOKUP(E27,COLABORADORES!$B$3:$J$60,3,0),"")</f>
        <v>PANADERIA</v>
      </c>
      <c r="H27" s="638" t="str">
        <f>IFERROR(VLOOKUP(E27,COLABORADORES!$B$3:$J$60,5,0),"")</f>
        <v>HERNANDEZ NEIRA CHRISTIAN CAMILO</v>
      </c>
      <c r="I27" s="736">
        <f>IFERROR(VLOOKUP(E27,COLABORADORES!$B$3:$J$60,6,0),"")</f>
        <v>80211959</v>
      </c>
      <c r="J27" s="639">
        <f>SUMIF(D5:D26,D27,J5:J26)-J22</f>
        <v>51.19316180476639</v>
      </c>
      <c r="K27" s="639">
        <f>SUMIF(D5:D26,D27,K5:K26)-K22</f>
        <v>55.432955013000004</v>
      </c>
      <c r="L27" s="640">
        <f>IFERROR(K27/J27,"")</f>
        <v>1.0828195223495429</v>
      </c>
      <c r="M27" s="641">
        <f>SUMIF(D10:D13,D27,M10:M13)+'TABLA DE LIQUIDACION (Prev)'!L12</f>
        <v>2259.6464724550442</v>
      </c>
      <c r="N27" s="657">
        <f>SUMIF(D10:D13,D27,N10:N13)+'TABLA DE LIQUIDACION (Prev)'!M12</f>
        <v>2442.1171584793974</v>
      </c>
      <c r="O27" s="642">
        <f>IFERROR(N27/M27,"")</f>
        <v>1.0807518734672259</v>
      </c>
      <c r="P27" s="643">
        <f>SUM(J27,M27)</f>
        <v>2310.8396342598107</v>
      </c>
      <c r="Q27" s="643">
        <f>SUM(K27,N27)</f>
        <v>2497.5501134923975</v>
      </c>
      <c r="R27" s="643">
        <f>IFERROR(Q27/P27,"")</f>
        <v>1.0807976791052367</v>
      </c>
      <c r="S27" s="644">
        <f>SUMIF(D5:D26,D27,S5:S26)-S22</f>
        <v>1238.690047</v>
      </c>
      <c r="T27" s="645">
        <f>SUMIF(D5:D26,D27,T5:T26)-T22</f>
        <v>2793.5815429999998</v>
      </c>
      <c r="U27" s="642">
        <f>IFERROR(T27/S27,0)</f>
        <v>2.2552708401636163</v>
      </c>
      <c r="V27" s="646">
        <f>IF(L27&lt;'ACELERADORES DE CUMPLIMIENTO'!$G$4,0,IF(L27&lt;'ACELERADORES DE CUMPLIMIENTO'!$G$6,'ACELERADORES DE CUMPLIMIENTO'!$H$5,IF(L27&lt;='ACELERADORES DE CUMPLIMIENTO'!$G$8,'ACELERADORES DE CUMPLIMIENTO'!$H$7,IF(L27&lt;='ACELERADORES DE CUMPLIMIENTO'!$G$11,'TABLA DE LIQUIDACION RV'!L27,IF(L27&lt;'ACELERADORES DE CUMPLIMIENTO'!$G$13,((('TABLA DE LIQUIDACION RV'!L27-1)*2)+1),IF(L27&lt;'ACELERADORES DE CUMPLIMIENTO'!$G$15,((('TABLA DE LIQUIDACION RV'!L27-1)*3)+1),190%))))))</f>
        <v>1.1656390446990859</v>
      </c>
      <c r="W27" s="647">
        <f>IF(O27&lt;'ACELERADORES DE CUMPLIMIENTO'!$G$4,0,IF(O27&lt;'ACELERADORES DE CUMPLIMIENTO'!$G$6,'ACELERADORES DE CUMPLIMIENTO'!$H$5,IF(O27&lt;='ACELERADORES DE CUMPLIMIENTO'!$G$8,'ACELERADORES DE CUMPLIMIENTO'!$H$7,IF(O27&lt;='ACELERADORES DE CUMPLIMIENTO'!$G$11,'TABLA DE LIQUIDACION RV'!O27,IF(O27&lt;'ACELERADORES DE CUMPLIMIENTO'!$G$13,((('TABLA DE LIQUIDACION RV'!O27-1)*2)+1),IF(O27&lt;'ACELERADORES DE CUMPLIMIENTO'!$G$15,((('TABLA DE LIQUIDACION RV'!O27-1)*3)+1),190%))))))</f>
        <v>1.1615037469344518</v>
      </c>
      <c r="X27" s="648">
        <f>IF(U27&lt;'ACELERADORES DE CUMPLIMIENTO'!$G$4,0,IF(U27&lt;'ACELERADORES DE CUMPLIMIENTO'!$G$6,'ACELERADORES DE CUMPLIMIENTO'!$H$5,IF(U27&lt;='ACELERADORES DE CUMPLIMIENTO'!$G$8,'ACELERADORES DE CUMPLIMIENTO'!$H$7,IF(U27&lt;='ACELERADORES DE CUMPLIMIENTO'!$G$11,'TABLA DE LIQUIDACION RV'!U27,IF(U27&lt;'ACELERADORES DE CUMPLIMIENTO'!$G$13,((('TABLA DE LIQUIDACION RV'!U27-1)*2)+1),IF(U27&lt;'ACELERADORES DE CUMPLIMIENTO'!$G$15,((('TABLA DE LIQUIDACION RV'!U27-1)*3)+1),190%))))))</f>
        <v>1.9</v>
      </c>
      <c r="Y27" s="649">
        <f>IF(G27="CONSUMO",V27*$Y$3,V27*$Y$4)</f>
        <v>0</v>
      </c>
      <c r="Z27" s="649">
        <f>IF(G27="CONSUMO",W27*$Z$3,W27*$Z$4)</f>
        <v>0.81305262285411617</v>
      </c>
      <c r="AA27" s="649">
        <f>IF(G27="CONSUMO",X27*$AA$3,X27*$AA$4)</f>
        <v>0.56999999999999995</v>
      </c>
      <c r="AB27" s="650">
        <f>IFERROR(VLOOKUP(I27,COLABORADORES!$G$3:$I$60,3,0),0)</f>
        <v>711106</v>
      </c>
      <c r="AC27" s="651">
        <f t="shared" si="19"/>
        <v>0</v>
      </c>
      <c r="AD27" s="651">
        <f>$AB27*Z27</f>
        <v>578166.59842729918</v>
      </c>
      <c r="AE27" s="651">
        <f>$AB27*AA27</f>
        <v>405330.42</v>
      </c>
      <c r="AF27" s="327"/>
      <c r="AG27" s="616">
        <f>SUM(AC27:AF27)</f>
        <v>983497.0184272991</v>
      </c>
    </row>
    <row r="28" spans="2:34" s="68" customFormat="1" ht="13.8" customHeight="1" x14ac:dyDescent="0.3">
      <c r="B28" s="116"/>
      <c r="C28" s="116"/>
      <c r="D28" s="116"/>
      <c r="E28" s="168"/>
      <c r="F28" s="169"/>
      <c r="G28" s="169"/>
      <c r="H28" s="169"/>
      <c r="I28" s="170"/>
      <c r="J28" s="155"/>
      <c r="K28" s="155"/>
      <c r="L28" s="156"/>
      <c r="M28" s="155"/>
      <c r="N28" s="155"/>
      <c r="O28" s="157"/>
      <c r="P28" s="155"/>
      <c r="Q28" s="155"/>
      <c r="R28" s="157"/>
      <c r="S28" s="161"/>
      <c r="T28" s="161"/>
      <c r="U28" s="157"/>
      <c r="V28" s="159"/>
      <c r="W28" s="159"/>
      <c r="X28" s="159"/>
      <c r="Y28" s="159"/>
      <c r="Z28" s="159"/>
      <c r="AA28" s="159"/>
      <c r="AB28" s="160"/>
      <c r="AC28" s="160"/>
      <c r="AD28" s="160"/>
      <c r="AE28" s="160"/>
      <c r="AF28" s="160"/>
      <c r="AG28" s="171"/>
    </row>
    <row r="29" spans="2:34" ht="3" customHeight="1" x14ac:dyDescent="0.3">
      <c r="E29" s="172"/>
      <c r="F29" s="173"/>
      <c r="G29" s="173"/>
      <c r="H29" s="174"/>
      <c r="I29" s="120"/>
      <c r="J29" s="174"/>
      <c r="K29" s="174"/>
      <c r="L29" s="175">
        <v>0.85</v>
      </c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2"/>
      <c r="AD29" s="172"/>
      <c r="AE29" s="174"/>
      <c r="AF29" s="174"/>
      <c r="AG29" s="174"/>
    </row>
    <row r="30" spans="2:34" x14ac:dyDescent="0.3">
      <c r="E30" s="931" t="s">
        <v>15</v>
      </c>
      <c r="F30" s="932"/>
      <c r="G30" s="932"/>
      <c r="H30" s="932"/>
      <c r="I30" s="933"/>
      <c r="J30" s="177">
        <f>SUM(J5:J23)</f>
        <v>435.57389960178193</v>
      </c>
      <c r="K30" s="178">
        <f>SUM(K5:K23)</f>
        <v>1175.9041817203026</v>
      </c>
      <c r="L30" s="180">
        <f>IFERROR(K30/J30,"")</f>
        <v>2.6996663087374118</v>
      </c>
      <c r="M30" s="366">
        <f>SUM(M5:M23)+'TABLA DE LIQUIDACION (Prev)'!L12</f>
        <v>3755.3525848600939</v>
      </c>
      <c r="N30" s="178">
        <f>SUM(N5:N23)+'TABLA DE LIQUIDACION (Prev)'!M12</f>
        <v>4154.0783892845839</v>
      </c>
      <c r="O30" s="367">
        <f>IFERROR(N30/M30,"")</f>
        <v>1.1061753311878024</v>
      </c>
      <c r="P30" s="176">
        <f>SUM(P5:P24)-P25</f>
        <v>3246.8340578529746</v>
      </c>
      <c r="Q30" s="176">
        <f>SUM(Q5:Q24)-Q25</f>
        <v>4111.5485565611225</v>
      </c>
      <c r="R30" s="368">
        <f>IFERROR(Q30/P30,"")</f>
        <v>1.2663254368102679</v>
      </c>
      <c r="S30" s="366">
        <f>SUM(S5:S23)</f>
        <v>3504.1798909999998</v>
      </c>
      <c r="T30" s="178">
        <f>SUM(T5:T23)</f>
        <v>5765.2090370000005</v>
      </c>
      <c r="U30" s="367">
        <f>T30/S30</f>
        <v>1.6452377492968158</v>
      </c>
      <c r="V30" s="180"/>
      <c r="W30" s="180"/>
      <c r="X30" s="180"/>
      <c r="Y30" s="179"/>
      <c r="Z30" s="180"/>
      <c r="AA30" s="180"/>
      <c r="AB30" s="181">
        <f>SUM(AB5:AB26)</f>
        <v>8301069.8890000004</v>
      </c>
      <c r="AC30" s="182">
        <f>SUM(AC5:AC26)</f>
        <v>366416.35019000003</v>
      </c>
      <c r="AD30" s="183">
        <f ca="1">SUM(AD5:AD26)</f>
        <v>6520273.1951942444</v>
      </c>
      <c r="AE30" s="183">
        <f>SUM(AE5:AE26)</f>
        <v>3198822.0376085127</v>
      </c>
      <c r="AF30" s="183">
        <f>SUM(AF5:AF24)</f>
        <v>0</v>
      </c>
      <c r="AG30" s="184">
        <f ca="1">SUM(AG5:AG27)</f>
        <v>10245926.960842684</v>
      </c>
    </row>
    <row r="31" spans="2:34" x14ac:dyDescent="0.3">
      <c r="J31" s="44"/>
      <c r="K31" s="44"/>
      <c r="L31" s="44"/>
      <c r="M31" s="44"/>
      <c r="N31" s="44"/>
    </row>
    <row r="32" spans="2:34" x14ac:dyDescent="0.3">
      <c r="K32" s="43"/>
      <c r="S32" s="186"/>
      <c r="T32" s="186"/>
      <c r="AD32" s="299"/>
      <c r="AE32" s="300"/>
    </row>
    <row r="33" spans="7:23" x14ac:dyDescent="0.3">
      <c r="G33" s="42"/>
      <c r="H33" s="929" t="s">
        <v>294</v>
      </c>
      <c r="I33" s="929"/>
      <c r="J33" s="178"/>
      <c r="K33" s="178">
        <v>6.0165664285734088</v>
      </c>
      <c r="M33" s="178">
        <v>0</v>
      </c>
      <c r="N33" s="178">
        <v>13.903207773074099</v>
      </c>
      <c r="S33" s="43"/>
      <c r="T33" s="43"/>
      <c r="V33" s="122"/>
    </row>
    <row r="34" spans="7:23" x14ac:dyDescent="0.3">
      <c r="G34" s="42"/>
      <c r="H34" s="930" t="s">
        <v>300</v>
      </c>
      <c r="I34" s="930"/>
      <c r="J34" s="652"/>
      <c r="K34" s="652">
        <v>6.6723851799999997E-2</v>
      </c>
      <c r="M34" s="652">
        <v>0</v>
      </c>
      <c r="N34" s="652">
        <v>0.13934503499600001</v>
      </c>
      <c r="O34" s="44"/>
      <c r="S34" s="43"/>
      <c r="T34" s="43"/>
      <c r="U34"/>
      <c r="V34"/>
      <c r="W34"/>
    </row>
    <row r="35" spans="7:23" x14ac:dyDescent="0.3">
      <c r="I35" s="696" t="s">
        <v>321</v>
      </c>
      <c r="J35" s="787">
        <f>J30+J33+J34</f>
        <v>435.57389960178193</v>
      </c>
      <c r="K35" s="787">
        <f>K30+K33+K34</f>
        <v>1181.987472000676</v>
      </c>
      <c r="M35" s="787">
        <f>M30+M33+M34</f>
        <v>3755.3525848600939</v>
      </c>
      <c r="N35" s="787">
        <f>N30+N33+N34</f>
        <v>4168.1209420926543</v>
      </c>
      <c r="O35" s="44"/>
      <c r="W35" s="737"/>
    </row>
  </sheetData>
  <mergeCells count="12">
    <mergeCell ref="H33:I33"/>
    <mergeCell ref="H34:I34"/>
    <mergeCell ref="E30:I30"/>
    <mergeCell ref="AB2:AB3"/>
    <mergeCell ref="AC2:AG2"/>
    <mergeCell ref="V2:X2"/>
    <mergeCell ref="J2:R2"/>
    <mergeCell ref="P3:R3"/>
    <mergeCell ref="M3:O3"/>
    <mergeCell ref="J3:L3"/>
    <mergeCell ref="S2:U3"/>
    <mergeCell ref="AG22:AG24"/>
  </mergeCells>
  <phoneticPr fontId="12" type="noConversion"/>
  <conditionalFormatting sqref="AF24:AF26 AF5:AF22 AF28">
    <cfRule type="cellIs" dxfId="8" priority="14" operator="lessThan">
      <formula>0</formula>
    </cfRule>
  </conditionalFormatting>
  <conditionalFormatting sqref="R24 L24 O24">
    <cfRule type="iconSet" priority="250">
      <iconSet iconSet="3Symbols2">
        <cfvo type="percent" val="0"/>
        <cfvo type="formula" val="$L$29"/>
        <cfvo type="formula" val="$L$29"/>
      </iconSet>
    </cfRule>
  </conditionalFormatting>
  <conditionalFormatting sqref="U24">
    <cfRule type="iconSet" priority="253">
      <iconSet iconSet="3Symbols2">
        <cfvo type="percent" val="0"/>
        <cfvo type="formula" val="$L$29"/>
        <cfvo type="formula" val="$L$29"/>
      </iconSet>
    </cfRule>
  </conditionalFormatting>
  <conditionalFormatting sqref="R28 R5:R22 R25 L5:L23 L25:L26 O25:O26 U25:U26 U28 O28 L28 O5:O23 U5:U23">
    <cfRule type="iconSet" priority="256">
      <iconSet iconSet="3Symbols2">
        <cfvo type="percent" val="0"/>
        <cfvo type="formula" val="$L$29"/>
        <cfvo type="formula" val="$L$29"/>
      </iconSet>
    </cfRule>
  </conditionalFormatting>
  <conditionalFormatting sqref="AF27">
    <cfRule type="cellIs" dxfId="7" priority="1" operator="lessThan">
      <formula>0</formula>
    </cfRule>
  </conditionalFormatting>
  <conditionalFormatting sqref="L27 O27 U27">
    <cfRule type="iconSet" priority="2">
      <iconSet iconSet="3Symbols2">
        <cfvo type="percent" val="0"/>
        <cfvo type="formula" val="$L$29"/>
        <cfvo type="formula" val="$L$29"/>
      </iconSet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8287-DFCE-4D4E-B937-5461470BB63C}">
  <sheetPr codeName="Hoja2"/>
  <dimension ref="B1:AG15"/>
  <sheetViews>
    <sheetView showGridLines="0" zoomScale="80" zoomScaleNormal="80" workbookViewId="0">
      <pane xSplit="8" ySplit="4" topLeftCell="I5" activePane="bottomRight" state="frozen"/>
      <selection activeCell="M12" sqref="M12:T19"/>
      <selection pane="topRight" activeCell="M12" sqref="M12:T19"/>
      <selection pane="bottomLeft" activeCell="M12" sqref="M12:T19"/>
      <selection pane="bottomRight" activeCell="T10" sqref="T10"/>
    </sheetView>
  </sheetViews>
  <sheetFormatPr baseColWidth="10" defaultRowHeight="14.4" x14ac:dyDescent="0.3"/>
  <cols>
    <col min="1" max="1" width="1.5546875" customWidth="1"/>
    <col min="2" max="2" width="8.88671875" hidden="1" customWidth="1"/>
    <col min="3" max="3" width="1.33203125" customWidth="1"/>
    <col min="4" max="4" width="9.6640625" style="44" customWidth="1"/>
    <col min="5" max="5" width="12" style="108" customWidth="1"/>
    <col min="6" max="6" width="11.88671875" style="108" hidden="1" customWidth="1"/>
    <col min="7" max="7" width="35.88671875" style="42" customWidth="1"/>
    <col min="8" max="8" width="14.44140625" style="45" customWidth="1"/>
    <col min="9" max="9" width="6.5546875" style="42" customWidth="1"/>
    <col min="10" max="10" width="6.44140625" style="42" customWidth="1"/>
    <col min="11" max="11" width="9.6640625" style="109" customWidth="1"/>
    <col min="12" max="12" width="7.5546875" style="42" customWidth="1"/>
    <col min="13" max="13" width="7.21875" style="42" customWidth="1"/>
    <col min="14" max="14" width="9.44140625" style="42" customWidth="1"/>
    <col min="15" max="16" width="10.109375" style="42" hidden="1" customWidth="1"/>
    <col min="17" max="17" width="6.6640625" style="42" hidden="1" customWidth="1"/>
    <col min="18" max="19" width="6.33203125" style="42" customWidth="1"/>
    <col min="20" max="20" width="10" style="42" customWidth="1"/>
    <col min="21" max="23" width="7.6640625" style="42" customWidth="1"/>
    <col min="24" max="24" width="6.6640625" style="42" customWidth="1"/>
    <col min="25" max="25" width="7.88671875" style="42" customWidth="1"/>
    <col min="26" max="26" width="6.6640625" style="42" customWidth="1"/>
    <col min="27" max="27" width="12" style="42" customWidth="1"/>
    <col min="28" max="28" width="11.33203125" style="44" customWidth="1"/>
    <col min="29" max="29" width="11" style="44" customWidth="1"/>
    <col min="30" max="30" width="13" style="42" customWidth="1"/>
    <col min="31" max="31" width="0.33203125" style="42" customWidth="1"/>
    <col min="32" max="32" width="12.33203125" style="42" customWidth="1"/>
  </cols>
  <sheetData>
    <row r="1" spans="2:33" ht="15" thickBot="1" x14ac:dyDescent="0.35"/>
    <row r="2" spans="2:33" x14ac:dyDescent="0.3">
      <c r="B2" s="15"/>
      <c r="C2" s="15"/>
      <c r="D2" s="658">
        <v>0.85</v>
      </c>
      <c r="E2" s="112"/>
      <c r="F2" s="112"/>
      <c r="G2" s="289"/>
      <c r="H2" s="288"/>
      <c r="I2" s="956"/>
      <c r="J2" s="957"/>
      <c r="K2" s="957"/>
      <c r="L2" s="957"/>
      <c r="M2" s="957"/>
      <c r="N2" s="957"/>
      <c r="O2" s="957"/>
      <c r="P2" s="957"/>
      <c r="Q2" s="957"/>
      <c r="R2" s="957"/>
      <c r="S2" s="957"/>
      <c r="T2" s="958"/>
      <c r="U2" s="938" t="s">
        <v>16</v>
      </c>
      <c r="V2" s="939"/>
      <c r="W2" s="940"/>
      <c r="X2" s="253" t="s">
        <v>265</v>
      </c>
      <c r="Y2" s="253" t="s">
        <v>266</v>
      </c>
      <c r="Z2" s="253" t="s">
        <v>267</v>
      </c>
      <c r="AA2" s="934" t="s">
        <v>17</v>
      </c>
      <c r="AB2" s="936" t="s">
        <v>20</v>
      </c>
      <c r="AC2" s="936"/>
      <c r="AD2" s="936"/>
      <c r="AE2" s="936"/>
      <c r="AF2" s="937"/>
    </row>
    <row r="3" spans="2:33" ht="15" thickBot="1" x14ac:dyDescent="0.35">
      <c r="D3" s="111"/>
      <c r="E3" s="112"/>
      <c r="F3" s="112"/>
      <c r="G3" s="112"/>
      <c r="H3" s="113"/>
      <c r="I3" s="946" t="s">
        <v>261</v>
      </c>
      <c r="J3" s="944"/>
      <c r="K3" s="945"/>
      <c r="L3" s="944" t="s">
        <v>262</v>
      </c>
      <c r="M3" s="944"/>
      <c r="N3" s="944"/>
      <c r="O3" s="943" t="s">
        <v>15</v>
      </c>
      <c r="P3" s="944"/>
      <c r="Q3" s="945"/>
      <c r="R3" s="953" t="s">
        <v>263</v>
      </c>
      <c r="S3" s="954"/>
      <c r="T3" s="955"/>
      <c r="U3" s="247" t="s">
        <v>281</v>
      </c>
      <c r="V3" s="247" t="s">
        <v>266</v>
      </c>
      <c r="W3" s="247" t="s">
        <v>282</v>
      </c>
      <c r="X3" s="269">
        <v>0.4</v>
      </c>
      <c r="Y3" s="269">
        <v>0.4</v>
      </c>
      <c r="Z3" s="269">
        <v>0.2</v>
      </c>
      <c r="AA3" s="935"/>
      <c r="AB3" s="248" t="s">
        <v>278</v>
      </c>
      <c r="AC3" s="249" t="s">
        <v>6</v>
      </c>
      <c r="AD3" s="249" t="s">
        <v>263</v>
      </c>
      <c r="AE3" s="250" t="s">
        <v>96</v>
      </c>
      <c r="AF3" s="251" t="s">
        <v>15</v>
      </c>
    </row>
    <row r="4" spans="2:33" s="185" customFormat="1" ht="15" thickBot="1" x14ac:dyDescent="0.35">
      <c r="D4" s="206" t="s">
        <v>66</v>
      </c>
      <c r="E4" s="317" t="s">
        <v>157</v>
      </c>
      <c r="F4" s="207" t="s">
        <v>193</v>
      </c>
      <c r="G4" s="343" t="s">
        <v>2</v>
      </c>
      <c r="H4" s="342" t="s">
        <v>9</v>
      </c>
      <c r="I4" s="344" t="s">
        <v>140</v>
      </c>
      <c r="J4" s="345" t="s">
        <v>5</v>
      </c>
      <c r="K4" s="346" t="s">
        <v>7</v>
      </c>
      <c r="L4" s="347" t="s">
        <v>140</v>
      </c>
      <c r="M4" s="347" t="s">
        <v>5</v>
      </c>
      <c r="N4" s="347" t="s">
        <v>7</v>
      </c>
      <c r="O4" s="344" t="s">
        <v>140</v>
      </c>
      <c r="P4" s="345" t="s">
        <v>5</v>
      </c>
      <c r="Q4" s="346" t="s">
        <v>7</v>
      </c>
      <c r="R4" s="346" t="s">
        <v>3</v>
      </c>
      <c r="S4" s="348" t="s">
        <v>5</v>
      </c>
      <c r="T4" s="344" t="s">
        <v>7</v>
      </c>
      <c r="U4" s="349" t="s">
        <v>10</v>
      </c>
      <c r="V4" s="349" t="s">
        <v>10</v>
      </c>
      <c r="W4" s="349" t="s">
        <v>10</v>
      </c>
      <c r="X4" s="589">
        <v>0</v>
      </c>
      <c r="Y4" s="590">
        <v>0.7</v>
      </c>
      <c r="Z4" s="591">
        <v>0.3</v>
      </c>
      <c r="AA4" s="349" t="s">
        <v>18</v>
      </c>
      <c r="AB4" s="243" t="s">
        <v>279</v>
      </c>
      <c r="AC4" s="244" t="s">
        <v>280</v>
      </c>
      <c r="AD4" s="244" t="s">
        <v>18</v>
      </c>
      <c r="AE4" s="245"/>
      <c r="AF4" s="246" t="s">
        <v>18</v>
      </c>
    </row>
    <row r="5" spans="2:33" s="68" customFormat="1" ht="15.75" customHeight="1" x14ac:dyDescent="0.3">
      <c r="B5" s="116" t="str">
        <f>TRIM(D5)</f>
        <v>1301</v>
      </c>
      <c r="C5" s="116" t="s">
        <v>114</v>
      </c>
      <c r="D5" s="571" t="s">
        <v>40</v>
      </c>
      <c r="E5" s="572" t="s">
        <v>264</v>
      </c>
      <c r="F5" s="573" t="s">
        <v>189</v>
      </c>
      <c r="G5" s="574" t="str">
        <f>IFERROR(VLOOKUP(D5,COLABORADORES!$B$3:$J$60,5,0),"")</f>
        <v>RUBIANO ZIPACON BORIS RENE</v>
      </c>
      <c r="H5" s="575">
        <f>IFERROR(VLOOKUP(D5,COLABORADORES!$B$3:$J$60,6,0),"")</f>
        <v>79906735</v>
      </c>
      <c r="I5" s="576">
        <v>15</v>
      </c>
      <c r="J5" s="576">
        <f>'SOPORTE PREVENTA'!L6</f>
        <v>19</v>
      </c>
      <c r="K5" s="553">
        <f t="shared" ref="K5:K10" si="0">IFERROR(J5/I5,"")</f>
        <v>1.2666666666666666</v>
      </c>
      <c r="L5" s="577">
        <v>540</v>
      </c>
      <c r="M5" s="576">
        <f>SUMIF('SOPORTE VENTAS'!$C$5:$C$31,'TABLA DE LIQUIDACION (Prev)'!D5,'SOPORTE VENTAS'!$F$5:$F$31)</f>
        <v>431</v>
      </c>
      <c r="N5" s="578">
        <f t="shared" ref="N5:N10" si="1">IFERROR(M5/L5,"")</f>
        <v>0.79814814814814816</v>
      </c>
      <c r="O5" s="579">
        <f>SUM(I5,L5)</f>
        <v>555</v>
      </c>
      <c r="P5" s="579">
        <f>SUM(J5,M5)</f>
        <v>450</v>
      </c>
      <c r="Q5" s="580">
        <f>IFERROR(P5/O5,"")</f>
        <v>0.81081081081081086</v>
      </c>
      <c r="R5" s="786">
        <v>4.5</v>
      </c>
      <c r="S5" s="601">
        <f>'SOPORTE PREVENTA'!B4</f>
        <v>3.9907407407407409</v>
      </c>
      <c r="T5" s="581">
        <f t="shared" ref="T5:T10" si="2">IFERROR(S5/R5,0)</f>
        <v>0.88683127572016462</v>
      </c>
      <c r="U5" s="309">
        <f>IF(K5&lt;'ACELERADORES DE CUMPLIMIENTO'!$G$4,0,IF(K5&lt;'ACELERADORES DE CUMPLIMIENTO'!$G$6,'ACELERADORES DE CUMPLIMIENTO'!$H$5,IF(K5&lt;='ACELERADORES DE CUMPLIMIENTO'!$G$8,'ACELERADORES DE CUMPLIMIENTO'!$H$7,IF(K5&lt;='ACELERADORES DE CUMPLIMIENTO'!$G$11,'TABLA DE LIQUIDACION (Prev)'!K5,IF(K5&lt;'ACELERADORES DE CUMPLIMIENTO'!$G$13,((('TABLA DE LIQUIDACION (Prev)'!K5-1)*2)+1),IF(K5&lt;'ACELERADORES DE CUMPLIMIENTO'!$G$15,((('TABLA DE LIQUIDACION (Prev)'!K5-1)*3)+1),190%))))))</f>
        <v>1.7999999999999998</v>
      </c>
      <c r="V5" s="286">
        <f>IF(N5&lt;'ACELERADORES DE CUMPLIMIENTO'!$G$4,0,IF(N5&lt;'ACELERADORES DE CUMPLIMIENTO'!$G$6,'ACELERADORES DE CUMPLIMIENTO'!$H$5,IF(N5&lt;='ACELERADORES DE CUMPLIMIENTO'!$G$8,'ACELERADORES DE CUMPLIMIENTO'!$H$7,IF(N5&lt;='ACELERADORES DE CUMPLIMIENTO'!$G$11,'TABLA DE LIQUIDACION (Prev)'!N5,IF(N5&lt;'ACELERADORES DE CUMPLIMIENTO'!$G$13,((('TABLA DE LIQUIDACION (Prev)'!N5-1)*2)+1),IF(N5&lt;'ACELERADORES DE CUMPLIMIENTO'!$G$15,((('TABLA DE LIQUIDACION (Prev)'!N5-1)*3)+1),190%))))))</f>
        <v>0</v>
      </c>
      <c r="W5" s="310">
        <f>IF(T5&lt;'ACELERADORES DE CUMPLIMIENTO'!$G$4,0,IF(T5&lt;'ACELERADORES DE CUMPLIMIENTO'!$G$6,'ACELERADORES DE CUMPLIMIENTO'!$H$5,IF(T5&lt;='ACELERADORES DE CUMPLIMIENTO'!$G$8,'ACELERADORES DE CUMPLIMIENTO'!$H$7,IF(T5&lt;='ACELERADORES DE CUMPLIMIENTO'!$G$11,'TABLA DE LIQUIDACION (Prev)'!T5,IF(T5&lt;'ACELERADORES DE CUMPLIMIENTO'!$G$13,((('TABLA DE LIQUIDACION (Prev)'!T5-1)*2)+1),IF(T5&lt;'ACELERADORES DE CUMPLIMIENTO'!$G$15,((('TABLA DE LIQUIDACION (Prev)'!T5-1)*3)+1),190%))))))</f>
        <v>0.6</v>
      </c>
      <c r="X5" s="582">
        <f t="shared" ref="X5:X10" si="3">IF(F5="CONSUMO",U5*$X$3,U5*$X$4)</f>
        <v>0.72</v>
      </c>
      <c r="Y5" s="582">
        <f t="shared" ref="Y5:Y10" si="4">IF(F5="CONSUMO",V5*$Y$3,V5*$Y$4)</f>
        <v>0</v>
      </c>
      <c r="Z5" s="582">
        <f t="shared" ref="Z5:Z10" si="5">IF(F5="CONSUMO",W5*$Z$3,W5*$Z$4)</f>
        <v>0.12</v>
      </c>
      <c r="AA5" s="583">
        <f>IFERROR(VLOOKUP(H5,COLABORADORES!$G$3:$I$60,3,0),0)</f>
        <v>519863.3726</v>
      </c>
      <c r="AB5" s="308">
        <f t="shared" ref="AB5:AD10" si="6">$AA5*X5</f>
        <v>374301.628272</v>
      </c>
      <c r="AC5" s="308">
        <f t="shared" si="6"/>
        <v>0</v>
      </c>
      <c r="AD5" s="308">
        <f t="shared" si="6"/>
        <v>62383.604712</v>
      </c>
      <c r="AE5" s="223"/>
      <c r="AF5" s="584">
        <f t="shared" ref="AF5:AF10" si="7">SUM(AB5:AE5)</f>
        <v>436685.232984</v>
      </c>
    </row>
    <row r="6" spans="2:33" s="68" customFormat="1" x14ac:dyDescent="0.3">
      <c r="B6" s="116"/>
      <c r="C6" s="116"/>
      <c r="D6" s="571" t="s">
        <v>43</v>
      </c>
      <c r="E6" s="572" t="s">
        <v>264</v>
      </c>
      <c r="F6" s="573" t="s">
        <v>189</v>
      </c>
      <c r="G6" s="574" t="str">
        <f>IFERROR(VLOOKUP(D6,COLABORADORES!$B$3:$J$60,5,0),"")</f>
        <v xml:space="preserve">PEÑA SERRANO WILLIAM </v>
      </c>
      <c r="H6" s="575">
        <f>IFERROR(VLOOKUP(D6,COLABORADORES!$B$3:$J$60,6,0),"")</f>
        <v>1010178894</v>
      </c>
      <c r="I6" s="576">
        <v>15</v>
      </c>
      <c r="J6" s="576">
        <f>'SOPORTE PREVENTA'!T6</f>
        <v>14</v>
      </c>
      <c r="K6" s="553">
        <f t="shared" si="0"/>
        <v>0.93333333333333335</v>
      </c>
      <c r="L6" s="577">
        <v>549.5</v>
      </c>
      <c r="M6" s="576">
        <f>SUMIF('SOPORTE VENTAS'!$C$5:$C$31,'TABLA DE LIQUIDACION (Prev)'!D6,'SOPORTE VENTAS'!$F$5:$F$31)</f>
        <v>657</v>
      </c>
      <c r="N6" s="578">
        <f t="shared" si="1"/>
        <v>1.1956323930846224</v>
      </c>
      <c r="O6" s="155"/>
      <c r="P6" s="155"/>
      <c r="Q6" s="157"/>
      <c r="R6" s="786">
        <v>4.5</v>
      </c>
      <c r="S6" s="601">
        <f>'SOPORTE PREVENTA'!G4</f>
        <v>5.9189189189189193</v>
      </c>
      <c r="T6" s="581">
        <f t="shared" si="2"/>
        <v>1.3153153153153154</v>
      </c>
      <c r="U6" s="309">
        <f>IF(K6&lt;'ACELERADORES DE CUMPLIMIENTO'!$G$4,0,IF(K6&lt;'ACELERADORES DE CUMPLIMIENTO'!$G$6,'ACELERADORES DE CUMPLIMIENTO'!$H$5,IF(K6&lt;='ACELERADORES DE CUMPLIMIENTO'!$G$8,'ACELERADORES DE CUMPLIMIENTO'!$H$7,IF(K6&lt;='ACELERADORES DE CUMPLIMIENTO'!$G$11,'TABLA DE LIQUIDACION (Prev)'!K6,IF(K6&lt;'ACELERADORES DE CUMPLIMIENTO'!$G$13,((('TABLA DE LIQUIDACION (Prev)'!K6-1)*2)+1),IF(K6&lt;'ACELERADORES DE CUMPLIMIENTO'!$G$15,((('TABLA DE LIQUIDACION (Prev)'!K6-1)*3)+1),190%))))))</f>
        <v>0.7</v>
      </c>
      <c r="V6" s="286">
        <f>IF(N6&lt;'ACELERADORES DE CUMPLIMIENTO'!$G$4,0,IF(N6&lt;'ACELERADORES DE CUMPLIMIENTO'!$G$6,'ACELERADORES DE CUMPLIMIENTO'!$H$5,IF(N6&lt;='ACELERADORES DE CUMPLIMIENTO'!$G$8,'ACELERADORES DE CUMPLIMIENTO'!$H$7,IF(N6&lt;='ACELERADORES DE CUMPLIMIENTO'!$G$11,'TABLA DE LIQUIDACION (Prev)'!N6,IF(N6&lt;'ACELERADORES DE CUMPLIMIENTO'!$G$13,((('TABLA DE LIQUIDACION (Prev)'!N6-1)*2)+1),IF(N6&lt;'ACELERADORES DE CUMPLIMIENTO'!$G$15,((('TABLA DE LIQUIDACION (Prev)'!N6-1)*3)+1),190%))))))</f>
        <v>1.5868971792538673</v>
      </c>
      <c r="W6" s="310">
        <f>IF(T6&lt;'ACELERADORES DE CUMPLIMIENTO'!$G$4,0,IF(T6&lt;'ACELERADORES DE CUMPLIMIENTO'!$G$6,'ACELERADORES DE CUMPLIMIENTO'!$H$5,IF(T6&lt;='ACELERADORES DE CUMPLIMIENTO'!$G$8,'ACELERADORES DE CUMPLIMIENTO'!$H$7,IF(T6&lt;='ACELERADORES DE CUMPLIMIENTO'!$G$11,'TABLA DE LIQUIDACION (Prev)'!T6,IF(T6&lt;'ACELERADORES DE CUMPLIMIENTO'!$G$13,((('TABLA DE LIQUIDACION (Prev)'!T6-1)*2)+1),IF(T6&lt;'ACELERADORES DE CUMPLIMIENTO'!$G$15,((('TABLA DE LIQUIDACION (Prev)'!T6-1)*3)+1),190%))))))</f>
        <v>1.9</v>
      </c>
      <c r="X6" s="582">
        <f t="shared" si="3"/>
        <v>0.27999999999999997</v>
      </c>
      <c r="Y6" s="582">
        <f t="shared" si="4"/>
        <v>0.63475887170154699</v>
      </c>
      <c r="Z6" s="582">
        <f t="shared" si="5"/>
        <v>0.38</v>
      </c>
      <c r="AA6" s="583">
        <f>IFERROR(VLOOKUP(H6,COLABORADORES!$G$3:$I$60,3,0),0)</f>
        <v>505999</v>
      </c>
      <c r="AB6" s="308">
        <f t="shared" si="6"/>
        <v>141679.71999999997</v>
      </c>
      <c r="AC6" s="308">
        <f t="shared" si="6"/>
        <v>321187.35432211106</v>
      </c>
      <c r="AD6" s="308">
        <f t="shared" si="6"/>
        <v>192279.62</v>
      </c>
      <c r="AE6" s="326"/>
      <c r="AF6" s="584">
        <f t="shared" si="7"/>
        <v>655146.69432211109</v>
      </c>
    </row>
    <row r="7" spans="2:33" s="68" customFormat="1" x14ac:dyDescent="0.3">
      <c r="B7" s="116"/>
      <c r="C7" s="116"/>
      <c r="D7" s="571" t="s">
        <v>44</v>
      </c>
      <c r="E7" s="572" t="s">
        <v>264</v>
      </c>
      <c r="F7" s="573" t="s">
        <v>189</v>
      </c>
      <c r="G7" s="574" t="str">
        <f>IFERROR(VLOOKUP(D7,COLABORADORES!$B$3:$J$60,5,0),"")</f>
        <v xml:space="preserve">RODRIGUEZ MONTAÑA OSCAR JAVIER </v>
      </c>
      <c r="H7" s="575">
        <f>IFERROR(VLOOKUP(D7,COLABORADORES!$B$3:$J$60,6,0),"")</f>
        <v>80181663</v>
      </c>
      <c r="I7" s="576">
        <v>15</v>
      </c>
      <c r="J7" s="576">
        <f>'SOPORTE PREVENTA'!P6</f>
        <v>15</v>
      </c>
      <c r="K7" s="553">
        <f t="shared" si="0"/>
        <v>1</v>
      </c>
      <c r="L7" s="577">
        <v>550</v>
      </c>
      <c r="M7" s="576">
        <f>SUMIF('SOPORTE VENTAS'!$C$5:$C$31,'TABLA DE LIQUIDACION (Prev)'!D7,'SOPORTE VENTAS'!$F$5:$F$31)</f>
        <v>554</v>
      </c>
      <c r="N7" s="578">
        <f t="shared" si="1"/>
        <v>1.0072727272727273</v>
      </c>
      <c r="O7" s="155"/>
      <c r="P7" s="155"/>
      <c r="Q7" s="157"/>
      <c r="R7" s="786">
        <v>4.5</v>
      </c>
      <c r="S7" s="601">
        <f>'SOPORTE PREVENTA'!F4</f>
        <v>4.1654135338345863</v>
      </c>
      <c r="T7" s="581">
        <f t="shared" si="2"/>
        <v>0.92564745196324139</v>
      </c>
      <c r="U7" s="309">
        <f>IF(K7&lt;'ACELERADORES DE CUMPLIMIENTO'!$G$4,0,IF(K7&lt;'ACELERADORES DE CUMPLIMIENTO'!$G$6,'ACELERADORES DE CUMPLIMIENTO'!$H$5,IF(K7&lt;='ACELERADORES DE CUMPLIMIENTO'!$G$8,'ACELERADORES DE CUMPLIMIENTO'!$H$7,IF(K7&lt;='ACELERADORES DE CUMPLIMIENTO'!$G$11,'TABLA DE LIQUIDACION (Prev)'!K7,IF(K7&lt;'ACELERADORES DE CUMPLIMIENTO'!$G$13,((('TABLA DE LIQUIDACION (Prev)'!K7-1)*2)+1),IF(K7&lt;'ACELERADORES DE CUMPLIMIENTO'!$G$15,((('TABLA DE LIQUIDACION (Prev)'!K7-1)*3)+1),190%))))))</f>
        <v>1</v>
      </c>
      <c r="V7" s="286">
        <f>IF(N7&lt;'ACELERADORES DE CUMPLIMIENTO'!$G$4,0,IF(N7&lt;'ACELERADORES DE CUMPLIMIENTO'!$G$6,'ACELERADORES DE CUMPLIMIENTO'!$H$5,IF(N7&lt;='ACELERADORES DE CUMPLIMIENTO'!$G$8,'ACELERADORES DE CUMPLIMIENTO'!$H$7,IF(N7&lt;='ACELERADORES DE CUMPLIMIENTO'!$G$11,'TABLA DE LIQUIDACION (Prev)'!N7,IF(N7&lt;'ACELERADORES DE CUMPLIMIENTO'!$G$13,((('TABLA DE LIQUIDACION (Prev)'!N7-1)*2)+1),IF(N7&lt;'ACELERADORES DE CUMPLIMIENTO'!$G$15,((('TABLA DE LIQUIDACION (Prev)'!N7-1)*3)+1),190%))))))</f>
        <v>1.0145454545454546</v>
      </c>
      <c r="W7" s="310">
        <f>IF(T7&lt;'ACELERADORES DE CUMPLIMIENTO'!$G$4,0,IF(T7&lt;'ACELERADORES DE CUMPLIMIENTO'!$G$6,'ACELERADORES DE CUMPLIMIENTO'!$H$5,IF(T7&lt;='ACELERADORES DE CUMPLIMIENTO'!$G$8,'ACELERADORES DE CUMPLIMIENTO'!$H$7,IF(T7&lt;='ACELERADORES DE CUMPLIMIENTO'!$G$11,'TABLA DE LIQUIDACION (Prev)'!T7,IF(T7&lt;'ACELERADORES DE CUMPLIMIENTO'!$G$13,((('TABLA DE LIQUIDACION (Prev)'!T7-1)*2)+1),IF(T7&lt;'ACELERADORES DE CUMPLIMIENTO'!$G$15,((('TABLA DE LIQUIDACION (Prev)'!T7-1)*3)+1),190%))))))</f>
        <v>0.7</v>
      </c>
      <c r="X7" s="582">
        <f t="shared" si="3"/>
        <v>0.4</v>
      </c>
      <c r="Y7" s="582">
        <f t="shared" si="4"/>
        <v>0.40581818181818186</v>
      </c>
      <c r="Z7" s="582">
        <f t="shared" si="5"/>
        <v>0.13999999999999999</v>
      </c>
      <c r="AA7" s="583">
        <f>IFERROR(VLOOKUP(H7,COLABORADORES!$G$3:$I$60,3,0),0)</f>
        <v>505999</v>
      </c>
      <c r="AB7" s="308">
        <f t="shared" si="6"/>
        <v>202399.6</v>
      </c>
      <c r="AC7" s="308">
        <f t="shared" si="6"/>
        <v>205343.59418181819</v>
      </c>
      <c r="AD7" s="308">
        <f t="shared" si="6"/>
        <v>70839.859999999986</v>
      </c>
      <c r="AE7" s="326"/>
      <c r="AF7" s="584">
        <f t="shared" si="7"/>
        <v>478583.05418181815</v>
      </c>
    </row>
    <row r="8" spans="2:33" x14ac:dyDescent="0.3">
      <c r="D8" s="571" t="s">
        <v>47</v>
      </c>
      <c r="E8" s="572" t="s">
        <v>264</v>
      </c>
      <c r="F8" s="573" t="s">
        <v>189</v>
      </c>
      <c r="G8" s="574" t="str">
        <f>IFERROR(VLOOKUP(D8,COLABORADORES!$B$3:$J$60,5,0),"")</f>
        <v>GONZALEZ LINA JOHANA</v>
      </c>
      <c r="H8" s="575">
        <f>IFERROR(VLOOKUP(D8,COLABORADORES!$B$3:$J$60,6,0),"")</f>
        <v>1018453232</v>
      </c>
      <c r="I8" s="576">
        <v>15</v>
      </c>
      <c r="J8" s="576">
        <f>'SOPORTE PREVENTA'!AB6</f>
        <v>18</v>
      </c>
      <c r="K8" s="553">
        <f t="shared" si="0"/>
        <v>1.2</v>
      </c>
      <c r="L8" s="577">
        <v>350</v>
      </c>
      <c r="M8" s="576">
        <f>SUMIF('SOPORTE VENTAS'!$C$5:$C$31,'TABLA DE LIQUIDACION (Prev)'!D8,'SOPORTE VENTAS'!$F$5:$F$31)</f>
        <v>428</v>
      </c>
      <c r="N8" s="578">
        <f t="shared" si="1"/>
        <v>1.2228571428571429</v>
      </c>
      <c r="O8" s="174"/>
      <c r="P8" s="174"/>
      <c r="Q8" s="174"/>
      <c r="R8" s="786">
        <v>4.5</v>
      </c>
      <c r="S8" s="601">
        <f>'SOPORTE PREVENTA'!E4</f>
        <v>3.2671755725190841</v>
      </c>
      <c r="T8" s="581">
        <f t="shared" si="2"/>
        <v>0.72603901611535204</v>
      </c>
      <c r="U8" s="309">
        <f>IF(K8&lt;'ACELERADORES DE CUMPLIMIENTO'!$G$4,0,IF(K8&lt;'ACELERADORES DE CUMPLIMIENTO'!$G$6,'ACELERADORES DE CUMPLIMIENTO'!$H$5,IF(K8&lt;='ACELERADORES DE CUMPLIMIENTO'!$G$8,'ACELERADORES DE CUMPLIMIENTO'!$H$7,IF(K8&lt;='ACELERADORES DE CUMPLIMIENTO'!$G$11,'TABLA DE LIQUIDACION (Prev)'!K8,IF(K8&lt;'ACELERADORES DE CUMPLIMIENTO'!$G$13,((('TABLA DE LIQUIDACION (Prev)'!K8-1)*2)+1),IF(K8&lt;'ACELERADORES DE CUMPLIMIENTO'!$G$15,((('TABLA DE LIQUIDACION (Prev)'!K8-1)*3)+1),190%))))))</f>
        <v>1.5999999999999999</v>
      </c>
      <c r="V8" s="286">
        <f>IF(N8&lt;'ACELERADORES DE CUMPLIMIENTO'!$G$4,0,IF(N8&lt;'ACELERADORES DE CUMPLIMIENTO'!$G$6,'ACELERADORES DE CUMPLIMIENTO'!$H$5,IF(N8&lt;='ACELERADORES DE CUMPLIMIENTO'!$G$8,'ACELERADORES DE CUMPLIMIENTO'!$H$7,IF(N8&lt;='ACELERADORES DE CUMPLIMIENTO'!$G$11,'TABLA DE LIQUIDACION (Prev)'!N8,IF(N8&lt;'ACELERADORES DE CUMPLIMIENTO'!$G$13,((('TABLA DE LIQUIDACION (Prev)'!N8-1)*2)+1),IF(N8&lt;'ACELERADORES DE CUMPLIMIENTO'!$G$15,((('TABLA DE LIQUIDACION (Prev)'!N8-1)*3)+1),190%))))))</f>
        <v>1.6685714285714286</v>
      </c>
      <c r="W8" s="310">
        <f>IF(T8&lt;'ACELERADORES DE CUMPLIMIENTO'!$G$4,0,IF(T8&lt;'ACELERADORES DE CUMPLIMIENTO'!$G$6,'ACELERADORES DE CUMPLIMIENTO'!$H$5,IF(T8&lt;='ACELERADORES DE CUMPLIMIENTO'!$G$8,'ACELERADORES DE CUMPLIMIENTO'!$H$7,IF(T8&lt;='ACELERADORES DE CUMPLIMIENTO'!$G$11,'TABLA DE LIQUIDACION (Prev)'!T8,IF(T8&lt;'ACELERADORES DE CUMPLIMIENTO'!$G$13,((('TABLA DE LIQUIDACION (Prev)'!T8-1)*2)+1),IF(T8&lt;'ACELERADORES DE CUMPLIMIENTO'!$G$15,((('TABLA DE LIQUIDACION (Prev)'!T8-1)*3)+1),190%))))))</f>
        <v>0</v>
      </c>
      <c r="X8" s="582">
        <f t="shared" si="3"/>
        <v>0.64</v>
      </c>
      <c r="Y8" s="582">
        <f t="shared" si="4"/>
        <v>0.66742857142857148</v>
      </c>
      <c r="Z8" s="582">
        <f t="shared" si="5"/>
        <v>0</v>
      </c>
      <c r="AA8" s="583">
        <f>IFERROR(VLOOKUP(H8,COLABORADORES!$G$3:$I$60,3,0),0)</f>
        <v>505999</v>
      </c>
      <c r="AB8" s="308">
        <f t="shared" si="6"/>
        <v>323839.35999999999</v>
      </c>
      <c r="AC8" s="308">
        <f t="shared" si="6"/>
        <v>337718.18971428572</v>
      </c>
      <c r="AD8" s="308">
        <f t="shared" si="6"/>
        <v>0</v>
      </c>
      <c r="AE8" s="326"/>
      <c r="AF8" s="584">
        <f t="shared" si="7"/>
        <v>661557.54971428565</v>
      </c>
    </row>
    <row r="9" spans="2:33" x14ac:dyDescent="0.3">
      <c r="D9" s="571" t="s">
        <v>292</v>
      </c>
      <c r="E9" s="572" t="s">
        <v>264</v>
      </c>
      <c r="F9" s="573" t="s">
        <v>189</v>
      </c>
      <c r="G9" s="574" t="str">
        <f>IFERROR(VLOOKUP(D9,COLABORADORES!$B$3:$J$60,5,0),"")</f>
        <v>RIVAS PENAGOS ELIZABETH</v>
      </c>
      <c r="H9" s="575">
        <f>IFERROR(VLOOKUP(D9,COLABORADORES!$B$3:$J$60,6,0),"")</f>
        <v>1012357599</v>
      </c>
      <c r="I9" s="576">
        <v>15</v>
      </c>
      <c r="J9" s="576">
        <f>'SOPORTE PREVENTA'!X6</f>
        <v>16</v>
      </c>
      <c r="K9" s="553">
        <f t="shared" si="0"/>
        <v>1.0666666666666667</v>
      </c>
      <c r="L9" s="577">
        <v>350</v>
      </c>
      <c r="M9" s="576">
        <f>SUMIF('SOPORTE VENTAS'!$C$5:$C$31,'TABLA DE LIQUIDACION (Prev)'!D9,'SOPORTE VENTAS'!$F$5:$F$31)</f>
        <v>388</v>
      </c>
      <c r="N9" s="578">
        <f t="shared" si="1"/>
        <v>1.1085714285714285</v>
      </c>
      <c r="R9" s="786">
        <v>4.5</v>
      </c>
      <c r="S9" s="601">
        <f>'SOPORTE PREVENTA'!D4</f>
        <v>6.274193548387097</v>
      </c>
      <c r="T9" s="581">
        <f t="shared" si="2"/>
        <v>1.3942652329749103</v>
      </c>
      <c r="U9" s="309">
        <f>IF(K9&lt;'ACELERADORES DE CUMPLIMIENTO'!$G$4,0,IF(K9&lt;'ACELERADORES DE CUMPLIMIENTO'!$G$6,'ACELERADORES DE CUMPLIMIENTO'!$H$5,IF(K9&lt;='ACELERADORES DE CUMPLIMIENTO'!$G$8,'ACELERADORES DE CUMPLIMIENTO'!$H$7,IF(K9&lt;='ACELERADORES DE CUMPLIMIENTO'!$G$11,'TABLA DE LIQUIDACION (Prev)'!K9,IF(K9&lt;'ACELERADORES DE CUMPLIMIENTO'!$G$13,((('TABLA DE LIQUIDACION (Prev)'!K9-1)*2)+1),IF(K9&lt;'ACELERADORES DE CUMPLIMIENTO'!$G$15,((('TABLA DE LIQUIDACION (Prev)'!K9-1)*3)+1),190%))))))</f>
        <v>1.1333333333333333</v>
      </c>
      <c r="V9" s="286">
        <f>IF(N9&lt;'ACELERADORES DE CUMPLIMIENTO'!$G$4,0,IF(N9&lt;'ACELERADORES DE CUMPLIMIENTO'!$G$6,'ACELERADORES DE CUMPLIMIENTO'!$H$5,IF(N9&lt;='ACELERADORES DE CUMPLIMIENTO'!$G$8,'ACELERADORES DE CUMPLIMIENTO'!$H$7,IF(N9&lt;='ACELERADORES DE CUMPLIMIENTO'!$G$11,'TABLA DE LIQUIDACION (Prev)'!N9,IF(N9&lt;'ACELERADORES DE CUMPLIMIENTO'!$G$13,((('TABLA DE LIQUIDACION (Prev)'!N9-1)*2)+1),IF(N9&lt;'ACELERADORES DE CUMPLIMIENTO'!$G$15,((('TABLA DE LIQUIDACION (Prev)'!N9-1)*3)+1),190%))))))</f>
        <v>1.2171428571428571</v>
      </c>
      <c r="W9" s="310">
        <f>IF(T9&lt;'ACELERADORES DE CUMPLIMIENTO'!$G$4,0,IF(T9&lt;'ACELERADORES DE CUMPLIMIENTO'!$G$6,'ACELERADORES DE CUMPLIMIENTO'!$H$5,IF(T9&lt;='ACELERADORES DE CUMPLIMIENTO'!$G$8,'ACELERADORES DE CUMPLIMIENTO'!$H$7,IF(T9&lt;='ACELERADORES DE CUMPLIMIENTO'!$G$11,'TABLA DE LIQUIDACION (Prev)'!T9,IF(T9&lt;'ACELERADORES DE CUMPLIMIENTO'!$G$13,((('TABLA DE LIQUIDACION (Prev)'!T9-1)*2)+1),IF(T9&lt;'ACELERADORES DE CUMPLIMIENTO'!$G$15,((('TABLA DE LIQUIDACION (Prev)'!T9-1)*3)+1),190%))))))</f>
        <v>1.9</v>
      </c>
      <c r="X9" s="582">
        <f t="shared" si="3"/>
        <v>0.45333333333333337</v>
      </c>
      <c r="Y9" s="582">
        <f t="shared" si="4"/>
        <v>0.48685714285714288</v>
      </c>
      <c r="Z9" s="582">
        <f t="shared" si="5"/>
        <v>0.38</v>
      </c>
      <c r="AA9" s="583">
        <f>IFERROR(VLOOKUP(H9,COLABORADORES!$G$3:$I$60,3,0),0)</f>
        <v>505999</v>
      </c>
      <c r="AB9" s="308">
        <f t="shared" si="6"/>
        <v>229386.21333333335</v>
      </c>
      <c r="AC9" s="308">
        <f t="shared" si="6"/>
        <v>246349.22742857144</v>
      </c>
      <c r="AD9" s="308">
        <f t="shared" si="6"/>
        <v>192279.62</v>
      </c>
      <c r="AE9" s="326"/>
      <c r="AF9" s="584">
        <f t="shared" si="7"/>
        <v>668015.06076190481</v>
      </c>
    </row>
    <row r="10" spans="2:33" s="42" customFormat="1" x14ac:dyDescent="0.3">
      <c r="B10"/>
      <c r="C10"/>
      <c r="D10" s="571" t="s">
        <v>455</v>
      </c>
      <c r="E10" s="572" t="s">
        <v>264</v>
      </c>
      <c r="F10" s="573" t="s">
        <v>189</v>
      </c>
      <c r="G10" s="574" t="str">
        <f>IFERROR(VLOOKUP(D10,COLABORADORES!$B$3:$J$60,5,0),"")</f>
        <v>GONZALEZ GONZALEZ CESAR ALBERTO</v>
      </c>
      <c r="H10" s="792">
        <f>IFERROR(VLOOKUP(D10,COLABORADORES!$B$3:$J$60,6,0),"")</f>
        <v>79745362</v>
      </c>
      <c r="I10" s="577">
        <v>15</v>
      </c>
      <c r="J10" s="793">
        <f>'SOPORTE PREVENTA'!AF6</f>
        <v>9</v>
      </c>
      <c r="K10" s="794">
        <f t="shared" si="0"/>
        <v>0.6</v>
      </c>
      <c r="L10" s="576">
        <v>300</v>
      </c>
      <c r="M10" s="576">
        <f>SUMIF('SOPORTE VENTAS'!$C$5:$C$31,'TABLA DE LIQUIDACION (Prev)'!D10,'SOPORTE VENTAS'!$F$5:$F$31)</f>
        <v>18</v>
      </c>
      <c r="N10" s="578">
        <f t="shared" si="1"/>
        <v>0.06</v>
      </c>
      <c r="R10" s="786">
        <v>5.5</v>
      </c>
      <c r="S10" s="601">
        <f>'SOPORTE PREVENTA'!C4</f>
        <v>2</v>
      </c>
      <c r="T10" s="581">
        <f t="shared" si="2"/>
        <v>0.36363636363636365</v>
      </c>
      <c r="U10" s="309">
        <f>IF(K10&lt;'ACELERADORES DE CUMPLIMIENTO'!$G$4,0,IF(K10&lt;'ACELERADORES DE CUMPLIMIENTO'!$G$6,'ACELERADORES DE CUMPLIMIENTO'!$H$5,IF(K10&lt;='ACELERADORES DE CUMPLIMIENTO'!$G$8,'ACELERADORES DE CUMPLIMIENTO'!$H$7,IF(K10&lt;='ACELERADORES DE CUMPLIMIENTO'!$G$11,'TABLA DE LIQUIDACION (Prev)'!K10,IF(K10&lt;'ACELERADORES DE CUMPLIMIENTO'!$G$13,((('TABLA DE LIQUIDACION (Prev)'!K10-1)*2)+1),IF(K10&lt;'ACELERADORES DE CUMPLIMIENTO'!$G$15,((('TABLA DE LIQUIDACION (Prev)'!K10-1)*3)+1),190%))))))</f>
        <v>0</v>
      </c>
      <c r="V10" s="286">
        <f>IF(N10&lt;'ACELERADORES DE CUMPLIMIENTO'!$G$4,0,IF(N10&lt;'ACELERADORES DE CUMPLIMIENTO'!$G$6,'ACELERADORES DE CUMPLIMIENTO'!$H$5,IF(N10&lt;='ACELERADORES DE CUMPLIMIENTO'!$G$8,'ACELERADORES DE CUMPLIMIENTO'!$H$7,IF(N10&lt;='ACELERADORES DE CUMPLIMIENTO'!$G$11,'TABLA DE LIQUIDACION (Prev)'!N10,IF(N10&lt;'ACELERADORES DE CUMPLIMIENTO'!$G$13,((('TABLA DE LIQUIDACION (Prev)'!N10-1)*2)+1),IF(N10&lt;'ACELERADORES DE CUMPLIMIENTO'!$G$15,((('TABLA DE LIQUIDACION (Prev)'!N10-1)*3)+1),190%))))))</f>
        <v>0</v>
      </c>
      <c r="W10" s="310">
        <f>IF(T10&lt;'ACELERADORES DE CUMPLIMIENTO'!$G$4,0,IF(T10&lt;'ACELERADORES DE CUMPLIMIENTO'!$G$6,'ACELERADORES DE CUMPLIMIENTO'!$H$5,IF(T10&lt;='ACELERADORES DE CUMPLIMIENTO'!$G$8,'ACELERADORES DE CUMPLIMIENTO'!$H$7,IF(T10&lt;='ACELERADORES DE CUMPLIMIENTO'!$G$11,'TABLA DE LIQUIDACION (Prev)'!T10,IF(T10&lt;'ACELERADORES DE CUMPLIMIENTO'!$G$13,((('TABLA DE LIQUIDACION (Prev)'!T10-1)*2)+1),IF(T10&lt;'ACELERADORES DE CUMPLIMIENTO'!$G$15,((('TABLA DE LIQUIDACION (Prev)'!T10-1)*3)+1),190%))))))</f>
        <v>0</v>
      </c>
      <c r="X10" s="582">
        <f t="shared" si="3"/>
        <v>0</v>
      </c>
      <c r="Y10" s="582">
        <f t="shared" si="4"/>
        <v>0</v>
      </c>
      <c r="Z10" s="582">
        <f t="shared" si="5"/>
        <v>0</v>
      </c>
      <c r="AA10" s="583">
        <f>IFERROR(VLOOKUP(H10,COLABORADORES!$G$3:$I$60,3,0),0)</f>
        <v>505999</v>
      </c>
      <c r="AB10" s="308">
        <f t="shared" si="6"/>
        <v>0</v>
      </c>
      <c r="AC10" s="308">
        <f t="shared" si="6"/>
        <v>0</v>
      </c>
      <c r="AD10" s="308">
        <f t="shared" si="6"/>
        <v>0</v>
      </c>
      <c r="AE10" s="326"/>
      <c r="AF10" s="584">
        <f t="shared" si="7"/>
        <v>0</v>
      </c>
      <c r="AG10"/>
    </row>
    <row r="11" spans="2:33" s="42" customFormat="1" x14ac:dyDescent="0.3">
      <c r="B11"/>
      <c r="C11"/>
      <c r="D11" s="44"/>
      <c r="E11" s="108"/>
      <c r="F11" s="108"/>
      <c r="H11" s="45"/>
      <c r="K11" s="109"/>
      <c r="T11" s="122"/>
      <c r="U11" s="107"/>
      <c r="AA11" s="198"/>
      <c r="AB11" s="199"/>
      <c r="AC11" s="44"/>
      <c r="AD11" s="43"/>
      <c r="AG11"/>
    </row>
    <row r="12" spans="2:33" s="42" customFormat="1" x14ac:dyDescent="0.3">
      <c r="B12"/>
      <c r="C12"/>
      <c r="D12" s="44"/>
      <c r="E12" s="108"/>
      <c r="F12" s="108"/>
      <c r="H12" s="45"/>
      <c r="J12" s="951" t="s">
        <v>325</v>
      </c>
      <c r="K12" s="952"/>
      <c r="L12" s="796">
        <v>201.42215577851152</v>
      </c>
      <c r="M12" s="796">
        <v>179.51359909099725</v>
      </c>
      <c r="N12" s="797">
        <f>M12/L12</f>
        <v>0.89123065135095947</v>
      </c>
      <c r="R12" s="43"/>
      <c r="S12" s="43"/>
      <c r="U12" s="122"/>
      <c r="AB12" s="44"/>
      <c r="AC12" s="44"/>
      <c r="AG12"/>
    </row>
    <row r="13" spans="2:33" s="42" customFormat="1" x14ac:dyDescent="0.3">
      <c r="B13"/>
      <c r="C13"/>
      <c r="D13" s="44"/>
      <c r="E13" s="108"/>
      <c r="F13" s="108"/>
      <c r="H13" s="45"/>
      <c r="K13" s="109"/>
      <c r="N13" s="44"/>
      <c r="R13" s="43"/>
      <c r="S13" s="43"/>
      <c r="T13"/>
      <c r="U13"/>
      <c r="V13"/>
      <c r="AB13" s="44"/>
      <c r="AC13" s="44"/>
      <c r="AG13"/>
    </row>
    <row r="14" spans="2:33" s="42" customFormat="1" x14ac:dyDescent="0.3">
      <c r="B14"/>
      <c r="C14"/>
      <c r="D14" s="44"/>
      <c r="E14" s="108"/>
      <c r="F14" s="108"/>
      <c r="H14" s="45"/>
      <c r="K14" s="143"/>
      <c r="N14" s="44"/>
      <c r="AB14" s="44"/>
      <c r="AC14" s="44"/>
      <c r="AG14"/>
    </row>
    <row r="15" spans="2:33" s="42" customFormat="1" x14ac:dyDescent="0.3">
      <c r="B15"/>
      <c r="C15"/>
      <c r="D15" s="44"/>
      <c r="E15" s="108"/>
      <c r="F15" s="108"/>
      <c r="H15" s="45"/>
      <c r="K15" s="44"/>
      <c r="N15" s="44"/>
      <c r="AB15" s="44"/>
      <c r="AC15" s="44"/>
      <c r="AG15"/>
    </row>
  </sheetData>
  <mergeCells count="9">
    <mergeCell ref="J12:K12"/>
    <mergeCell ref="AB2:AF2"/>
    <mergeCell ref="I3:K3"/>
    <mergeCell ref="L3:N3"/>
    <mergeCell ref="O3:Q3"/>
    <mergeCell ref="R3:T3"/>
    <mergeCell ref="I2:T2"/>
    <mergeCell ref="U2:W2"/>
    <mergeCell ref="AA2:AA3"/>
  </mergeCells>
  <conditionalFormatting sqref="AE5:AE10">
    <cfRule type="cellIs" dxfId="6" priority="5" operator="lessThan">
      <formula>0</formula>
    </cfRule>
  </conditionalFormatting>
  <conditionalFormatting sqref="N5:N10 T5:T10 K5:K9">
    <cfRule type="iconSet" priority="3">
      <iconSet iconSet="3Symbols2">
        <cfvo type="percent" val="0"/>
        <cfvo type="formula" val="$D$2"/>
        <cfvo type="formula" val="$D$2"/>
      </iconSet>
    </cfRule>
  </conditionalFormatting>
  <conditionalFormatting sqref="K10">
    <cfRule type="iconSet" priority="2">
      <iconSet iconSet="3Symbols2">
        <cfvo type="percent" val="0"/>
        <cfvo type="formula" val="$D$2"/>
        <cfvo type="formula" val="$D$2"/>
      </iconSet>
    </cfRule>
  </conditionalFormatting>
  <conditionalFormatting sqref="N12">
    <cfRule type="iconSet" priority="1">
      <iconSet iconSet="3Symbols2">
        <cfvo type="percent" val="0"/>
        <cfvo type="formula" val="$D$2"/>
        <cfvo type="formula" val="$D$2"/>
      </iconSet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74AB-E536-4C4C-BF11-9B4409F82686}">
  <sheetPr codeName="Hoja6"/>
  <dimension ref="B1:AM16"/>
  <sheetViews>
    <sheetView showGridLines="0" zoomScale="75" zoomScaleNormal="75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M8" sqref="M8"/>
    </sheetView>
  </sheetViews>
  <sheetFormatPr baseColWidth="10" defaultRowHeight="14.4" x14ac:dyDescent="0.3"/>
  <cols>
    <col min="1" max="1" width="0.6640625" customWidth="1"/>
    <col min="2" max="2" width="7.44140625" hidden="1" customWidth="1"/>
    <col min="3" max="3" width="10.88671875" hidden="1" customWidth="1"/>
    <col min="4" max="4" width="9.77734375" style="258" customWidth="1"/>
    <col min="5" max="5" width="5.88671875" style="258" hidden="1" customWidth="1"/>
    <col min="6" max="6" width="21.44140625" style="259" hidden="1" customWidth="1"/>
    <col min="7" max="7" width="11" style="259" customWidth="1"/>
    <col min="8" max="8" width="25.21875" style="260" customWidth="1"/>
    <col min="9" max="9" width="12.33203125" style="261" customWidth="1"/>
    <col min="10" max="10" width="8.6640625" style="260" customWidth="1"/>
    <col min="11" max="11" width="8.88671875" style="260" customWidth="1"/>
    <col min="12" max="12" width="10.6640625" style="262" customWidth="1"/>
    <col min="13" max="14" width="8.6640625" style="260" customWidth="1"/>
    <col min="15" max="15" width="10.109375" style="260" customWidth="1"/>
    <col min="16" max="17" width="10.109375" style="260" hidden="1" customWidth="1"/>
    <col min="18" max="18" width="9.88671875" style="260" hidden="1" customWidth="1"/>
    <col min="19" max="19" width="9.109375" style="260" customWidth="1"/>
    <col min="20" max="20" width="9.88671875" style="260" customWidth="1"/>
    <col min="21" max="21" width="10.33203125" style="260" customWidth="1"/>
    <col min="22" max="23" width="8" style="260" customWidth="1"/>
    <col min="24" max="24" width="6.44140625" style="260" customWidth="1"/>
    <col min="25" max="26" width="7.5546875" style="260" customWidth="1"/>
    <col min="27" max="28" width="7.6640625" style="260" customWidth="1"/>
    <col min="29" max="29" width="6.109375" style="260" customWidth="1"/>
    <col min="30" max="32" width="6.109375" style="258" customWidth="1"/>
    <col min="33" max="33" width="12.6640625" style="260" customWidth="1"/>
    <col min="34" max="34" width="11.109375" style="258" customWidth="1"/>
    <col min="35" max="35" width="13" style="258" customWidth="1"/>
    <col min="36" max="36" width="11" style="260" customWidth="1"/>
    <col min="37" max="37" width="13.33203125" style="260" customWidth="1"/>
    <col min="38" max="38" width="12.5546875" style="260" customWidth="1"/>
    <col min="39" max="39" width="0.88671875" customWidth="1"/>
    <col min="40" max="40" width="13.21875" customWidth="1"/>
  </cols>
  <sheetData>
    <row r="1" spans="2:39" ht="10.5" customHeight="1" x14ac:dyDescent="0.3"/>
    <row r="2" spans="2:39" x14ac:dyDescent="0.3">
      <c r="B2" s="15"/>
      <c r="C2" s="15"/>
      <c r="D2" s="311">
        <v>0.85</v>
      </c>
      <c r="E2" s="263"/>
      <c r="F2" s="264"/>
      <c r="G2" s="264"/>
      <c r="H2" s="264"/>
      <c r="I2" s="265"/>
      <c r="J2" s="959" t="s">
        <v>75</v>
      </c>
      <c r="K2" s="960"/>
      <c r="L2" s="960"/>
      <c r="M2" s="960"/>
      <c r="N2" s="960"/>
      <c r="O2" s="960"/>
      <c r="P2" s="960"/>
      <c r="Q2" s="960"/>
      <c r="R2" s="961"/>
      <c r="S2" s="962" t="s">
        <v>197</v>
      </c>
      <c r="T2" s="962"/>
      <c r="U2" s="962"/>
      <c r="V2" s="959" t="s">
        <v>198</v>
      </c>
      <c r="W2" s="960"/>
      <c r="X2" s="961"/>
      <c r="Y2" s="972" t="s">
        <v>16</v>
      </c>
      <c r="Z2" s="973"/>
      <c r="AA2" s="973"/>
      <c r="AB2" s="974"/>
      <c r="AC2" s="271" t="s">
        <v>142</v>
      </c>
      <c r="AD2" s="304" t="s">
        <v>143</v>
      </c>
      <c r="AE2" s="304" t="s">
        <v>144</v>
      </c>
      <c r="AF2" s="305" t="s">
        <v>199</v>
      </c>
      <c r="AG2" s="963" t="s">
        <v>194</v>
      </c>
      <c r="AH2" s="965" t="s">
        <v>20</v>
      </c>
      <c r="AI2" s="966"/>
      <c r="AJ2" s="966"/>
      <c r="AK2" s="966"/>
      <c r="AL2" s="967"/>
    </row>
    <row r="3" spans="2:39" x14ac:dyDescent="0.3">
      <c r="D3" s="263"/>
      <c r="E3" s="263"/>
      <c r="F3" s="264"/>
      <c r="G3" s="264"/>
      <c r="H3" s="264"/>
      <c r="I3" s="265"/>
      <c r="J3" s="968" t="s">
        <v>125</v>
      </c>
      <c r="K3" s="968"/>
      <c r="L3" s="968"/>
      <c r="M3" s="968" t="s">
        <v>74</v>
      </c>
      <c r="N3" s="968"/>
      <c r="O3" s="968"/>
      <c r="P3" s="968" t="s">
        <v>15</v>
      </c>
      <c r="Q3" s="968"/>
      <c r="R3" s="968"/>
      <c r="S3" s="962"/>
      <c r="T3" s="962"/>
      <c r="U3" s="962"/>
      <c r="V3" s="969"/>
      <c r="W3" s="970"/>
      <c r="X3" s="971"/>
      <c r="Y3" s="270" t="s">
        <v>142</v>
      </c>
      <c r="Z3" s="270" t="s">
        <v>143</v>
      </c>
      <c r="AA3" s="270" t="s">
        <v>144</v>
      </c>
      <c r="AB3" s="270" t="s">
        <v>199</v>
      </c>
      <c r="AC3" s="274">
        <v>0.05</v>
      </c>
      <c r="AD3" s="266">
        <v>0.55000000000000004</v>
      </c>
      <c r="AE3" s="266">
        <v>0.2</v>
      </c>
      <c r="AF3" s="267">
        <v>0.2</v>
      </c>
      <c r="AG3" s="964"/>
      <c r="AH3" s="275" t="s">
        <v>6</v>
      </c>
      <c r="AI3" s="275" t="s">
        <v>6</v>
      </c>
      <c r="AJ3" s="275" t="s">
        <v>4</v>
      </c>
      <c r="AK3" s="276" t="s">
        <v>200</v>
      </c>
      <c r="AL3" s="275" t="s">
        <v>222</v>
      </c>
    </row>
    <row r="4" spans="2:39" s="185" customFormat="1" x14ac:dyDescent="0.3">
      <c r="D4" s="362" t="s">
        <v>221</v>
      </c>
      <c r="E4" s="328" t="s">
        <v>220</v>
      </c>
      <c r="F4" s="361" t="s">
        <v>65</v>
      </c>
      <c r="G4" s="360" t="s">
        <v>193</v>
      </c>
      <c r="H4" s="362" t="s">
        <v>196</v>
      </c>
      <c r="I4" s="391" t="s">
        <v>9</v>
      </c>
      <c r="J4" s="354" t="s">
        <v>140</v>
      </c>
      <c r="K4" s="354" t="s">
        <v>5</v>
      </c>
      <c r="L4" s="355" t="s">
        <v>7</v>
      </c>
      <c r="M4" s="354" t="s">
        <v>140</v>
      </c>
      <c r="N4" s="354" t="s">
        <v>5</v>
      </c>
      <c r="O4" s="354" t="s">
        <v>7</v>
      </c>
      <c r="P4" s="354" t="s">
        <v>140</v>
      </c>
      <c r="Q4" s="354" t="s">
        <v>5</v>
      </c>
      <c r="R4" s="354" t="s">
        <v>7</v>
      </c>
      <c r="S4" s="355" t="s">
        <v>3</v>
      </c>
      <c r="T4" s="356" t="s">
        <v>5</v>
      </c>
      <c r="U4" s="307" t="s">
        <v>7</v>
      </c>
      <c r="V4" s="356" t="s">
        <v>3</v>
      </c>
      <c r="W4" s="356" t="s">
        <v>5</v>
      </c>
      <c r="X4" s="307" t="s">
        <v>7</v>
      </c>
      <c r="Y4" s="357" t="s">
        <v>10</v>
      </c>
      <c r="Z4" s="357" t="s">
        <v>10</v>
      </c>
      <c r="AA4" s="357" t="s">
        <v>10</v>
      </c>
      <c r="AB4" s="357" t="s">
        <v>10</v>
      </c>
      <c r="AC4" s="272">
        <v>0</v>
      </c>
      <c r="AD4" s="272">
        <v>0.6</v>
      </c>
      <c r="AE4" s="272">
        <v>0.2</v>
      </c>
      <c r="AF4" s="272">
        <v>0.2</v>
      </c>
      <c r="AG4" s="353" t="s">
        <v>18</v>
      </c>
      <c r="AH4" s="358" t="s">
        <v>73</v>
      </c>
      <c r="AI4" s="358" t="s">
        <v>74</v>
      </c>
      <c r="AJ4" s="358" t="s">
        <v>18</v>
      </c>
      <c r="AK4" s="359"/>
      <c r="AL4" s="358" t="s">
        <v>18</v>
      </c>
    </row>
    <row r="5" spans="2:39" s="185" customFormat="1" hidden="1" x14ac:dyDescent="0.3">
      <c r="D5" s="384" t="s">
        <v>95</v>
      </c>
      <c r="E5" s="384" t="s">
        <v>296</v>
      </c>
      <c r="F5" s="371"/>
      <c r="G5" s="387" t="str">
        <f>IFERROR(VLOOKUP(D5,COLABORADORES!$B$3:$J$60,3,0),"")</f>
        <v>CONSUMO</v>
      </c>
      <c r="H5" s="392" t="str">
        <f>IFERROR(VLOOKUP(D5,COLABORADORES!$B$3:$J$60,5,0),"")</f>
        <v>SEGURA CAMACHO MARYSOL</v>
      </c>
      <c r="I5" s="388">
        <v>52371370</v>
      </c>
      <c r="J5" s="394">
        <v>317.48898329458586</v>
      </c>
      <c r="K5" s="372">
        <v>141.57160110000001</v>
      </c>
      <c r="L5" s="373">
        <v>0.44591027893601315</v>
      </c>
      <c r="M5" s="394">
        <v>407.28510705979579</v>
      </c>
      <c r="N5" s="372">
        <v>376.21711137</v>
      </c>
      <c r="O5" s="373">
        <v>0.92371929355807614</v>
      </c>
      <c r="P5" s="372">
        <v>724.77409035438166</v>
      </c>
      <c r="Q5" s="372">
        <v>517.78871247000006</v>
      </c>
      <c r="R5" s="395">
        <v>0.71441393857888169</v>
      </c>
      <c r="S5" s="394">
        <v>776.85155499999996</v>
      </c>
      <c r="T5" s="372">
        <v>612.62535600000001</v>
      </c>
      <c r="U5" s="395">
        <v>0.78860028284296868</v>
      </c>
      <c r="V5" s="372">
        <v>12.62583831885367</v>
      </c>
      <c r="W5" s="372">
        <v>27.761913740043987</v>
      </c>
      <c r="X5" s="398"/>
      <c r="Y5" s="400">
        <v>0</v>
      </c>
      <c r="Z5" s="374">
        <v>0.7</v>
      </c>
      <c r="AA5" s="374">
        <v>0</v>
      </c>
      <c r="AB5" s="401">
        <v>0.3</v>
      </c>
      <c r="AC5" s="375">
        <v>0</v>
      </c>
      <c r="AD5" s="375">
        <v>0.38500000000000001</v>
      </c>
      <c r="AE5" s="375">
        <v>0</v>
      </c>
      <c r="AF5" s="375">
        <v>0.06</v>
      </c>
      <c r="AG5" s="404">
        <v>1620004.32</v>
      </c>
      <c r="AH5" s="404">
        <v>0</v>
      </c>
      <c r="AI5" s="376">
        <v>498961.33055999997</v>
      </c>
      <c r="AJ5" s="376">
        <v>0</v>
      </c>
      <c r="AK5" s="376">
        <v>77760.207360000015</v>
      </c>
      <c r="AL5" s="405">
        <v>576721.53792000015</v>
      </c>
    </row>
    <row r="6" spans="2:39" s="185" customFormat="1" hidden="1" x14ac:dyDescent="0.3">
      <c r="D6" s="385" t="s">
        <v>95</v>
      </c>
      <c r="E6" s="385" t="s">
        <v>286</v>
      </c>
      <c r="F6" s="378"/>
      <c r="G6" s="389" t="str">
        <f>IFERROR(VLOOKUP(D6,COLABORADORES!$B$3:$J$60,3,0),"")</f>
        <v>CONSUMO</v>
      </c>
      <c r="H6" s="393" t="str">
        <f>IFERROR(VLOOKUP(D6,COLABORADORES!$B$3:$J$60,5,0),"")</f>
        <v>SEGURA CAMACHO MARYSOL</v>
      </c>
      <c r="I6" s="390">
        <v>52371370</v>
      </c>
      <c r="J6" s="396">
        <v>200.18677594923548</v>
      </c>
      <c r="K6" s="379">
        <v>22.63199964</v>
      </c>
      <c r="L6" s="380">
        <v>0.11305441896791002</v>
      </c>
      <c r="M6" s="396">
        <v>388.82829597687805</v>
      </c>
      <c r="N6" s="379">
        <v>430.37448802938638</v>
      </c>
      <c r="O6" s="380">
        <v>1.106849713568631</v>
      </c>
      <c r="P6" s="379">
        <v>589.01507192611348</v>
      </c>
      <c r="Q6" s="379">
        <v>453.00648766938639</v>
      </c>
      <c r="R6" s="397">
        <v>0.76909150420893113</v>
      </c>
      <c r="S6" s="396">
        <v>856.42759199999989</v>
      </c>
      <c r="T6" s="379">
        <v>873.58314899999993</v>
      </c>
      <c r="U6" s="397">
        <v>1.0200315323329752</v>
      </c>
      <c r="V6" s="379">
        <v>12.053677175283227</v>
      </c>
      <c r="W6" s="379">
        <v>42.863173801715455</v>
      </c>
      <c r="X6" s="399"/>
      <c r="Y6" s="402">
        <v>0</v>
      </c>
      <c r="Z6" s="381">
        <v>1.2136994271372621</v>
      </c>
      <c r="AA6" s="381">
        <v>1.0400630646659503</v>
      </c>
      <c r="AB6" s="403">
        <v>1</v>
      </c>
      <c r="AC6" s="382">
        <v>0</v>
      </c>
      <c r="AD6" s="382">
        <v>0.66753468492549417</v>
      </c>
      <c r="AE6" s="382">
        <v>0.20801261293319007</v>
      </c>
      <c r="AF6" s="382">
        <v>0.2</v>
      </c>
      <c r="AG6" s="406">
        <v>1620004.32</v>
      </c>
      <c r="AH6" s="406">
        <v>0</v>
      </c>
      <c r="AI6" s="383">
        <v>865127.25866331172</v>
      </c>
      <c r="AJ6" s="383">
        <v>269585.06525300466</v>
      </c>
      <c r="AK6" s="383">
        <v>259200.69120000006</v>
      </c>
      <c r="AL6" s="407">
        <v>1393913.0151163165</v>
      </c>
    </row>
    <row r="7" spans="2:39" s="42" customFormat="1" x14ac:dyDescent="0.3">
      <c r="B7"/>
      <c r="C7" s="116" t="s">
        <v>152</v>
      </c>
      <c r="D7" s="738" t="s">
        <v>95</v>
      </c>
      <c r="E7" s="739" t="s">
        <v>295</v>
      </c>
      <c r="F7" s="740" t="str">
        <f>IFERROR(VLOOKUP(D7,COLABORADORES!$B$3:$J$60,2,0),"")</f>
        <v>BOGOTA CONS./MAY.</v>
      </c>
      <c r="G7" s="741" t="str">
        <f>IFERROR(VLOOKUP(D7,COLABORADORES!$B$3:$J$60,3,0),"")</f>
        <v>CONSUMO</v>
      </c>
      <c r="H7" s="742" t="str">
        <f>IFERROR(VLOOKUP(D7,COLABORADORES!$B$3:$J$60,5,0),"")</f>
        <v>SEGURA CAMACHO MARYSOL</v>
      </c>
      <c r="I7" s="743">
        <f>IFERROR(VLOOKUP(D7,COLABORADORES!$B$3:$J$60,6,0),"")</f>
        <v>52371370</v>
      </c>
      <c r="J7" s="744">
        <f>SUMIF('TABLA DE LIQUIDACION RV'!$C$5:$C$24,'TABLA DE LIQUIDACION JV'!C7,'TABLA DE LIQUIDACION RV'!$J$5:$J$24)</f>
        <v>178.30597840468477</v>
      </c>
      <c r="K7" s="745">
        <f>SUMIF('TABLA DE LIQUIDACION RV'!$C$5:$C$24,'TABLA DE LIQUIDACION JV'!C7,'TABLA DE LIQUIDACION RV'!$K$5:$K$24)+'TABLA DE LIQUIDACION RV'!K33</f>
        <v>301.70224603771743</v>
      </c>
      <c r="L7" s="746">
        <f>IFERROR(K7/J7,"")</f>
        <v>1.6920478423498031</v>
      </c>
      <c r="M7" s="744">
        <f>SUMIF('TABLA DE LIQUIDACION RV'!$C$5:$C$24,'TABLA DE LIQUIDACION JV'!C7,'TABLA DE LIQUIDACION RV'!$M$5:$M$24)+'TABLA DE LIQUIDACION (Prev)'!L12+'TABLA DE LIQUIDACION RV'!M33</f>
        <v>2608.923732934395</v>
      </c>
      <c r="N7" s="745">
        <f>SUMIF('TABLA DE LIQUIDACION RV'!$C$5:$C$24,'TABLA DE LIQUIDACION JV'!C7,'TABLA DE LIQUIDACION RV'!$N$5:$N$24)+'TABLA DE LIQUIDACION (Prev)'!M12+'TABLA DE LIQUIDACION RV'!N33</f>
        <v>2870.8167804043569</v>
      </c>
      <c r="O7" s="746">
        <f>IFERROR(N7/M7,"")</f>
        <v>1.100383558232803</v>
      </c>
      <c r="P7" s="745">
        <f>SUM(J7,M7)</f>
        <v>2787.2297113390796</v>
      </c>
      <c r="Q7" s="745">
        <f>SUM(K7,N7)</f>
        <v>3172.5190264420744</v>
      </c>
      <c r="R7" s="747">
        <f>IFERROR(Q7/P7,"")</f>
        <v>1.1382337858754701</v>
      </c>
      <c r="S7" s="744">
        <f>SUMIF('TABLA DE LIQUIDACION RV'!$C$4:$C$24,'TABLA DE LIQUIDACION JV'!C7,'TABLA DE LIQUIDACION RV'!$S$4:$S$30)</f>
        <v>1718.394517</v>
      </c>
      <c r="T7" s="745">
        <f>SUMIF('TABLA DE LIQUIDACION RV'!$C$4:$C$24,'TABLA DE LIQUIDACION JV'!C7,'TABLA DE LIQUIDACION RV'!$T$4:$T$30)</f>
        <v>3615.130165</v>
      </c>
      <c r="U7" s="747">
        <f>IFERROR(T7/S7,0)</f>
        <v>2.103783577773136</v>
      </c>
      <c r="V7" s="745">
        <f>'SOPORTE RENTABILIDAD'!Q4/1000000</f>
        <v>52.178474658687897</v>
      </c>
      <c r="W7" s="745">
        <f>'SOPORTE RENTABILIDAD'!S3/1000000</f>
        <v>44.556854437173492</v>
      </c>
      <c r="X7" s="841"/>
      <c r="Y7" s="748">
        <f>IF(L7&lt;'ACELERADORES DE CUMPLIMIENTO'!$G$4,0,IF(L7&lt;'ACELERADORES DE CUMPLIMIENTO'!$G$6,'ACELERADORES DE CUMPLIMIENTO'!$H$5,IF(L7&lt;='ACELERADORES DE CUMPLIMIENTO'!$G$8,'ACELERADORES DE CUMPLIMIENTO'!$H$7,IF(L7&lt;='ACELERADORES DE CUMPLIMIENTO'!$G$11,L7,IF(L7&lt;'ACELERADORES DE CUMPLIMIENTO'!$G$13,(((L7-1)*2)+1),IF(L7&lt;'ACELERADORES DE CUMPLIMIENTO'!$G$15,(((L7-1)*3)+1),190%))))))</f>
        <v>1.9</v>
      </c>
      <c r="Z7" s="749">
        <f>IF(O7&lt;'ACELERADORES DE CUMPLIMIENTO'!$G$4,0,IF(O7&lt;'ACELERADORES DE CUMPLIMIENTO'!$G$6,'ACELERADORES DE CUMPLIMIENTO'!$H$5,IF(O7&lt;='ACELERADORES DE CUMPLIMIENTO'!$G$8,'ACELERADORES DE CUMPLIMIENTO'!$H$7,IF(O7&lt;='ACELERADORES DE CUMPLIMIENTO'!$G$11,O7,IF(O7&lt;'ACELERADORES DE CUMPLIMIENTO'!$G$13,(((O7-1)*2)+1),IF(O7&lt;'ACELERADORES DE CUMPLIMIENTO'!$G$15,(((O7-1)*3)+1),190%))))))</f>
        <v>1.200767116465606</v>
      </c>
      <c r="AA7" s="749">
        <f>IF(U7&lt;'ACELERADORES DE CUMPLIMIENTO'!$G$4,0,IF(U7&lt;'ACELERADORES DE CUMPLIMIENTO'!$G$6,'ACELERADORES DE CUMPLIMIENTO'!$H$5,IF(U7&lt;='ACELERADORES DE CUMPLIMIENTO'!$G$8,'ACELERADORES DE CUMPLIMIENTO'!$H$7,IF(U7&lt;='ACELERADORES DE CUMPLIMIENTO'!$G$11,U7,IF(U7&lt;'ACELERADORES DE CUMPLIMIENTO'!$G$13,(((U7-1)*2)+1),IF(U7&lt;'ACELERADORES DE CUMPLIMIENTO'!$G$15,(((U7-1)*3)+1),190%))))))</f>
        <v>1.9</v>
      </c>
      <c r="AB7" s="842">
        <f>'SOPORTE RENTABILIDAD'!O3</f>
        <v>0</v>
      </c>
      <c r="AC7" s="750">
        <f>IF(G7="CONSUMO",Y7*$AC$3,Y7*$AC$4)</f>
        <v>9.5000000000000001E-2</v>
      </c>
      <c r="AD7" s="750">
        <f>IF(G7="CONSUMO",Z7*$AD$3,Z7*$AD$4)</f>
        <v>0.6604219140560833</v>
      </c>
      <c r="AE7" s="750">
        <f>IF(G7="CONSUMO",AA7*$AE$3,AA7*$AE$4)</f>
        <v>0.38</v>
      </c>
      <c r="AF7" s="750">
        <f>IF(G7="CONSUMO",AB7*$AF$3,AB7*$AF$4)</f>
        <v>0</v>
      </c>
      <c r="AG7" s="751">
        <f>IFERROR(VLOOKUP(I7,COLABORADORES!$G$3:$I$60,3,0),0)</f>
        <v>1620004.32</v>
      </c>
      <c r="AH7" s="835">
        <f>$AG7*AC7</f>
        <v>153900.41040000002</v>
      </c>
      <c r="AI7" s="268">
        <f>$AG7*AD7</f>
        <v>1069886.3537935237</v>
      </c>
      <c r="AJ7" s="268">
        <f>$AG7*AE7</f>
        <v>615601.64160000009</v>
      </c>
      <c r="AK7" s="610">
        <f>AF7*AG7</f>
        <v>0</v>
      </c>
      <c r="AL7" s="419">
        <f>SUM(AH7:AK7)</f>
        <v>1839388.4057935239</v>
      </c>
      <c r="AM7"/>
    </row>
    <row r="8" spans="2:39" x14ac:dyDescent="0.3">
      <c r="C8" t="s">
        <v>1075</v>
      </c>
      <c r="D8" s="831" t="s">
        <v>1074</v>
      </c>
      <c r="G8" s="741" t="str">
        <f>IFERROR(VLOOKUP(D8,COLABORADORES!$B$3:$J$60,3,0),"")</f>
        <v>PANADERIA</v>
      </c>
      <c r="H8" s="742" t="str">
        <f>IFERROR(VLOOKUP(D8,COLABORADORES!$B$3:$J$60,5,0),"")</f>
        <v>GUZMAN AVILA JULIANA</v>
      </c>
      <c r="I8" s="743">
        <f>IFERROR(VLOOKUP(D8,COLABORADORES!$B$3:$J$60,6,0),"")</f>
        <v>52324863</v>
      </c>
      <c r="J8" s="744">
        <f>SUMIF('TABLA DE LIQUIDACION RV'!$C$5:$C$24,'TABLA DE LIQUIDACION JV'!C8,'TABLA DE LIQUIDACION RV'!$J$5:$J$24)</f>
        <v>0</v>
      </c>
      <c r="K8" s="745">
        <f>SUMIF('TABLA DE LIQUIDACION RV'!$C$5:$C$24,'TABLA DE LIQUIDACION JV'!C8,'TABLA DE LIQUIDACION RV'!$K$5:$K$24)+'TABLA DE LIQUIDACION RV'!K34</f>
        <v>647.34866353120003</v>
      </c>
      <c r="L8" s="832">
        <v>1</v>
      </c>
      <c r="M8" s="744">
        <f>SUMIF('TABLA DE LIQUIDACION RV'!$C$5:$C$24,'TABLA DE LIQUIDACION JV'!C8,'TABLA DE LIQUIDACION RV'!$M$5:$M$24)+'TABLA DE LIQUIDACION (Prev)'!L13+'TABLA DE LIQUIDACION RV'!M34</f>
        <v>400.13907360691337</v>
      </c>
      <c r="N8" s="745">
        <f>SUMIF('TABLA DE LIQUIDACION RV'!$C$5:$C$24,'TABLA DE LIQUIDACION JV'!C8,'TABLA DE LIQUIDACION RV'!$N$5:$N$24)+'TABLA DE LIQUIDACION (Prev)'!M13+'TABLA DE LIQUIDACION RV'!N34</f>
        <v>427.75084903499584</v>
      </c>
      <c r="O8" s="746">
        <f>IFERROR(N8/M8,"")</f>
        <v>1.0690054464793597</v>
      </c>
      <c r="S8" s="744">
        <f>SUMIF('TABLA DE LIQUIDACION RV'!$C$4:$C$24,'TABLA DE LIQUIDACION JV'!C8,'TABLA DE LIQUIDACION RV'!$S$4:$S$30)</f>
        <v>981.78413399999999</v>
      </c>
      <c r="T8" s="745">
        <f>SUMIF('TABLA DE LIQUIDACION RV'!$C$4:$C$24,'TABLA DE LIQUIDACION JV'!C8,'TABLA DE LIQUIDACION RV'!$T$4:$T$30)</f>
        <v>727.89434900000003</v>
      </c>
      <c r="U8" s="747">
        <f>IFERROR(T8/S8,0)</f>
        <v>0.74139958448340548</v>
      </c>
      <c r="V8" s="837"/>
      <c r="W8" s="838"/>
      <c r="X8" s="839"/>
      <c r="Y8" s="748">
        <f>IF(L8&lt;'ACELERADORES DE CUMPLIMIENTO'!$G$4,0,IF(L8&lt;'ACELERADORES DE CUMPLIMIENTO'!$G$6,'ACELERADORES DE CUMPLIMIENTO'!$H$5,IF(L8&lt;='ACELERADORES DE CUMPLIMIENTO'!$G$8,'ACELERADORES DE CUMPLIMIENTO'!$H$7,IF(L8&lt;='ACELERADORES DE CUMPLIMIENTO'!$G$11,L8,IF(L8&lt;'ACELERADORES DE CUMPLIMIENTO'!$G$13,(((L8-1)*2)+1),IF(L8&lt;'ACELERADORES DE CUMPLIMIENTO'!$G$15,(((L8-1)*3)+1),190%))))))</f>
        <v>1</v>
      </c>
      <c r="Z8" s="749">
        <f>IF(O8&lt;'ACELERADORES DE CUMPLIMIENTO'!$G$4,0,IF(O8&lt;'ACELERADORES DE CUMPLIMIENTO'!$G$6,'ACELERADORES DE CUMPLIMIENTO'!$H$5,IF(O8&lt;='ACELERADORES DE CUMPLIMIENTO'!$G$8,'ACELERADORES DE CUMPLIMIENTO'!$H$7,IF(O8&lt;='ACELERADORES DE CUMPLIMIENTO'!$G$11,O8,IF(O8&lt;'ACELERADORES DE CUMPLIMIENTO'!$G$13,(((O8-1)*2)+1),IF(O8&lt;'ACELERADORES DE CUMPLIMIENTO'!$G$15,(((O8-1)*3)+1),190%))))))</f>
        <v>1.1380108929587194</v>
      </c>
      <c r="AA8" s="749">
        <f>IF(U8&lt;'ACELERADORES DE CUMPLIMIENTO'!$G$4,0,IF(U8&lt;'ACELERADORES DE CUMPLIMIENTO'!$G$6,'ACELERADORES DE CUMPLIMIENTO'!$H$5,IF(U8&lt;='ACELERADORES DE CUMPLIMIENTO'!$G$8,'ACELERADORES DE CUMPLIMIENTO'!$H$7,IF(U8&lt;='ACELERADORES DE CUMPLIMIENTO'!$G$11,U8,IF(U8&lt;'ACELERADORES DE CUMPLIMIENTO'!$G$13,(((U8-1)*2)+1),IF(U8&lt;'ACELERADORES DE CUMPLIMIENTO'!$G$15,(((U8-1)*3)+1),190%))))))</f>
        <v>0</v>
      </c>
      <c r="AB8" s="840"/>
      <c r="AC8" s="750">
        <f>IF(G8="CONSUMO",Y8*$AC$3,Y8*$AC$4)</f>
        <v>0</v>
      </c>
      <c r="AD8" s="750">
        <f>IF(G8="CONSUMO",Z8*$AD$3,Z8*$AD$4)</f>
        <v>0.68280653577523165</v>
      </c>
      <c r="AE8" s="750">
        <f>IF(G8="CONSUMO",AA8*$AE$3,AA8*$AE$4)</f>
        <v>0</v>
      </c>
      <c r="AF8" s="750">
        <f>IF(G8="CONSUMO",AB8*$AF$3,AB8*$AF$4)</f>
        <v>0</v>
      </c>
      <c r="AG8" s="751">
        <f>IFERROR(VLOOKUP(I8,COLABORADORES!$G$3:$I$60,3,0),0)</f>
        <v>1900000</v>
      </c>
      <c r="AH8" s="836"/>
      <c r="AI8" s="833"/>
      <c r="AJ8" s="833"/>
      <c r="AK8" s="834"/>
      <c r="AL8" s="419">
        <f>SUM(AH8:AK8)</f>
        <v>0</v>
      </c>
    </row>
    <row r="9" spans="2:39" x14ac:dyDescent="0.3">
      <c r="V9"/>
      <c r="W9"/>
      <c r="X9"/>
    </row>
    <row r="10" spans="2:39" hidden="1" x14ac:dyDescent="0.3">
      <c r="J10" s="363" t="e">
        <f>#REF!+#REF!+#REF!+#REF!</f>
        <v>#REF!</v>
      </c>
      <c r="K10" s="364" t="e">
        <f>#REF!+#REF!+#REF!+#REF!</f>
        <v>#REF!</v>
      </c>
      <c r="L10" s="488" t="str">
        <f>IFERROR(K10/J10,"")</f>
        <v/>
      </c>
      <c r="M10" s="363" t="e">
        <f>#REF!+#REF!+#REF!+#REF!</f>
        <v>#REF!</v>
      </c>
      <c r="N10" s="364" t="e">
        <f>#REF!+#REF!+#REF!+#REF!</f>
        <v>#REF!</v>
      </c>
      <c r="O10" s="488" t="str">
        <f>IFERROR(N10/M10,"")</f>
        <v/>
      </c>
      <c r="P10" s="325"/>
      <c r="Q10" s="325"/>
      <c r="R10" s="325"/>
      <c r="S10" s="363" t="e">
        <f>#REF!+#REF!+#REF!+#REF!</f>
        <v>#REF!</v>
      </c>
      <c r="T10" s="364" t="e">
        <f>#REF!+#REF!+#REF!+#REF!</f>
        <v>#REF!</v>
      </c>
      <c r="U10" s="488" t="str">
        <f>IFERROR(T10/S10,"")</f>
        <v/>
      </c>
      <c r="V10"/>
      <c r="W10"/>
      <c r="X10"/>
    </row>
    <row r="16" spans="2:39" x14ac:dyDescent="0.3">
      <c r="M16" s="325"/>
    </row>
  </sheetData>
  <mergeCells count="9">
    <mergeCell ref="J2:R2"/>
    <mergeCell ref="S2:U3"/>
    <mergeCell ref="AG2:AG3"/>
    <mergeCell ref="AH2:AL2"/>
    <mergeCell ref="J3:L3"/>
    <mergeCell ref="M3:O3"/>
    <mergeCell ref="P3:R3"/>
    <mergeCell ref="V2:X3"/>
    <mergeCell ref="Y2:AB2"/>
  </mergeCells>
  <phoneticPr fontId="12" type="noConversion"/>
  <conditionalFormatting sqref="AK7:AK8">
    <cfRule type="cellIs" dxfId="5" priority="112" operator="lessThan">
      <formula>0</formula>
    </cfRule>
  </conditionalFormatting>
  <conditionalFormatting sqref="AK5:AK6">
    <cfRule type="cellIs" dxfId="4" priority="53" operator="lessThan">
      <formula>0</formula>
    </cfRule>
  </conditionalFormatting>
  <conditionalFormatting sqref="L5:L6 R5:R6 O5:O6 U5:U6 X5:X6">
    <cfRule type="iconSet" priority="54">
      <iconSet iconSet="3Symbols2">
        <cfvo type="percent" val="0"/>
        <cfvo type="formula" val="#REF!"/>
        <cfvo type="formula" val="#REF!"/>
      </iconSet>
    </cfRule>
  </conditionalFormatting>
  <conditionalFormatting sqref="U5:U6 L5:L6 X5:X6 O5:O6">
    <cfRule type="iconSet" priority="55">
      <iconSet iconSet="3Symbols2">
        <cfvo type="percent" val="0"/>
        <cfvo type="formula" val="$D$2"/>
        <cfvo type="formula" val="$D$2"/>
      </iconSet>
    </cfRule>
  </conditionalFormatting>
  <conditionalFormatting sqref="O10">
    <cfRule type="iconSet" priority="11">
      <iconSet iconSet="3Symbols2">
        <cfvo type="percent" val="0"/>
        <cfvo type="formula" val="$D$2"/>
        <cfvo type="formula" val="$D$2"/>
      </iconSet>
    </cfRule>
  </conditionalFormatting>
  <conditionalFormatting sqref="O10">
    <cfRule type="iconSet" priority="10">
      <iconSet iconSet="3Symbols2">
        <cfvo type="percent" val="0"/>
        <cfvo type="formula" val="#REF!"/>
        <cfvo type="formula" val="#REF!"/>
      </iconSet>
    </cfRule>
  </conditionalFormatting>
  <conditionalFormatting sqref="U10">
    <cfRule type="iconSet" priority="9">
      <iconSet iconSet="3Symbols2">
        <cfvo type="percent" val="0"/>
        <cfvo type="formula" val="$D$2"/>
        <cfvo type="formula" val="$D$2"/>
      </iconSet>
    </cfRule>
  </conditionalFormatting>
  <conditionalFormatting sqref="U10">
    <cfRule type="iconSet" priority="8">
      <iconSet iconSet="3Symbols2">
        <cfvo type="percent" val="0"/>
        <cfvo type="formula" val="#REF!"/>
        <cfvo type="formula" val="#REF!"/>
      </iconSet>
    </cfRule>
  </conditionalFormatting>
  <conditionalFormatting sqref="L10">
    <cfRule type="iconSet" priority="5">
      <iconSet iconSet="3Symbols2">
        <cfvo type="percent" val="0"/>
        <cfvo type="formula" val="$D$2"/>
        <cfvo type="formula" val="$D$2"/>
      </iconSet>
    </cfRule>
  </conditionalFormatting>
  <conditionalFormatting sqref="L10">
    <cfRule type="iconSet" priority="4">
      <iconSet iconSet="3Symbols2">
        <cfvo type="percent" val="0"/>
        <cfvo type="formula" val="#REF!"/>
        <cfvo type="formula" val="#REF!"/>
      </iconSet>
    </cfRule>
  </conditionalFormatting>
  <conditionalFormatting sqref="R7 X7 L7:L8 O7:O8 U7:U8">
    <cfRule type="iconSet" priority="358">
      <iconSet iconSet="3Symbols2">
        <cfvo type="percent" val="0"/>
        <cfvo type="formula" val="#REF!"/>
        <cfvo type="formula" val="#REF!"/>
      </iconSet>
    </cfRule>
  </conditionalFormatting>
  <conditionalFormatting sqref="O4 X7:X8 L7:L9 O7:O9 U7:U9">
    <cfRule type="iconSet" priority="363">
      <iconSet iconSet="3Symbols2">
        <cfvo type="percent" val="0"/>
        <cfvo type="formula" val="$D$2"/>
        <cfvo type="formula" val="$D$2"/>
      </iconSet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D64D-F11A-4236-98C6-2BBFC6EF73A4}">
  <sheetPr codeName="Hoja1"/>
  <dimension ref="A1:AL18"/>
  <sheetViews>
    <sheetView showGridLines="0" zoomScale="75" zoomScaleNormal="75" workbookViewId="0">
      <pane xSplit="7" ySplit="4" topLeftCell="H5" activePane="bottomRight" state="frozen"/>
      <selection activeCell="M12" sqref="M12:T19"/>
      <selection pane="topRight" activeCell="M12" sqref="M12:T19"/>
      <selection pane="bottomLeft" activeCell="M12" sqref="M12:T19"/>
      <selection pane="bottomRight" activeCell="R43" sqref="R43"/>
    </sheetView>
  </sheetViews>
  <sheetFormatPr baseColWidth="10" defaultRowHeight="14.4" x14ac:dyDescent="0.3"/>
  <cols>
    <col min="1" max="1" width="5.88671875" hidden="1" customWidth="1"/>
    <col min="2" max="2" width="9.44140625" hidden="1" customWidth="1"/>
    <col min="3" max="3" width="9.44140625" style="172" hidden="1" customWidth="1"/>
    <col min="4" max="4" width="6" style="172" hidden="1" customWidth="1"/>
    <col min="5" max="5" width="10.5546875" style="284" hidden="1" customWidth="1"/>
    <col min="6" max="6" width="32" style="172" customWidth="1"/>
    <col min="7" max="7" width="15" style="119" customWidth="1"/>
    <col min="8" max="9" width="9.33203125" style="172" customWidth="1"/>
    <col min="10" max="10" width="10" style="172" customWidth="1"/>
    <col min="11" max="12" width="9.44140625" style="172" customWidth="1"/>
    <col min="13" max="13" width="10.21875" style="172" customWidth="1"/>
    <col min="14" max="15" width="10.109375" style="172" hidden="1" customWidth="1"/>
    <col min="16" max="16" width="10.88671875" style="172" hidden="1" customWidth="1"/>
    <col min="17" max="18" width="9.5546875" style="172" customWidth="1"/>
    <col min="19" max="19" width="9.77734375" style="172" customWidth="1"/>
    <col min="20" max="21" width="7" style="172" customWidth="1"/>
    <col min="22" max="22" width="6.44140625" style="172" customWidth="1"/>
    <col min="23" max="26" width="7.77734375" style="172" customWidth="1"/>
    <col min="27" max="30" width="6.33203125" style="172" customWidth="1"/>
    <col min="31" max="31" width="12.88671875" style="172" customWidth="1"/>
    <col min="32" max="32" width="10.77734375" style="172" customWidth="1"/>
    <col min="33" max="33" width="14.109375" style="172" customWidth="1"/>
    <col min="34" max="35" width="12.6640625" style="172" customWidth="1"/>
    <col min="36" max="36" width="13.6640625" style="172" customWidth="1"/>
    <col min="37" max="37" width="2.44140625" customWidth="1"/>
    <col min="38" max="38" width="13.109375" bestFit="1" customWidth="1"/>
  </cols>
  <sheetData>
    <row r="1" spans="1:38" ht="10.5" customHeight="1" x14ac:dyDescent="0.3"/>
    <row r="2" spans="1:38" x14ac:dyDescent="0.3">
      <c r="A2" s="15"/>
      <c r="B2" s="15"/>
      <c r="C2" s="283"/>
      <c r="D2" s="670">
        <v>0.85</v>
      </c>
      <c r="E2" s="283"/>
      <c r="F2" s="283"/>
      <c r="G2" s="285"/>
      <c r="H2" s="985" t="s">
        <v>75</v>
      </c>
      <c r="I2" s="986"/>
      <c r="J2" s="986"/>
      <c r="K2" s="986"/>
      <c r="L2" s="986"/>
      <c r="M2" s="986"/>
      <c r="N2" s="986"/>
      <c r="O2" s="986"/>
      <c r="P2" s="986"/>
      <c r="Q2" s="977" t="s">
        <v>4</v>
      </c>
      <c r="R2" s="977"/>
      <c r="S2" s="977"/>
      <c r="T2" s="959" t="s">
        <v>198</v>
      </c>
      <c r="U2" s="960"/>
      <c r="V2" s="961"/>
      <c r="W2" s="979" t="s">
        <v>16</v>
      </c>
      <c r="X2" s="980"/>
      <c r="Y2" s="980"/>
      <c r="Z2" s="981"/>
      <c r="AA2" s="982" t="s">
        <v>8</v>
      </c>
      <c r="AB2" s="983"/>
      <c r="AC2" s="983"/>
      <c r="AD2" s="984"/>
      <c r="AE2" s="963" t="s">
        <v>194</v>
      </c>
      <c r="AF2" s="975" t="s">
        <v>20</v>
      </c>
      <c r="AG2" s="975"/>
      <c r="AH2" s="975"/>
      <c r="AI2" s="975"/>
      <c r="AJ2" s="976"/>
    </row>
    <row r="3" spans="1:38" ht="15" thickBot="1" x14ac:dyDescent="0.35">
      <c r="C3" s="283"/>
      <c r="D3" s="283"/>
      <c r="E3" s="283"/>
      <c r="F3" s="283"/>
      <c r="G3" s="285"/>
      <c r="H3" s="977" t="s">
        <v>125</v>
      </c>
      <c r="I3" s="977"/>
      <c r="J3" s="977"/>
      <c r="K3" s="977" t="s">
        <v>74</v>
      </c>
      <c r="L3" s="977"/>
      <c r="M3" s="977"/>
      <c r="N3" s="977" t="s">
        <v>15</v>
      </c>
      <c r="O3" s="977"/>
      <c r="P3" s="978"/>
      <c r="Q3" s="977"/>
      <c r="R3" s="977"/>
      <c r="S3" s="977"/>
      <c r="T3" s="969"/>
      <c r="U3" s="970"/>
      <c r="V3" s="971"/>
      <c r="W3" s="224" t="s">
        <v>142</v>
      </c>
      <c r="X3" s="204" t="s">
        <v>143</v>
      </c>
      <c r="Y3" s="232" t="s">
        <v>144</v>
      </c>
      <c r="Z3" s="292" t="s">
        <v>199</v>
      </c>
      <c r="AA3" s="204" t="s">
        <v>142</v>
      </c>
      <c r="AB3" s="204" t="s">
        <v>143</v>
      </c>
      <c r="AC3" s="225" t="s">
        <v>144</v>
      </c>
      <c r="AD3" s="225" t="s">
        <v>199</v>
      </c>
      <c r="AE3" s="964"/>
      <c r="AF3" s="234" t="s">
        <v>6</v>
      </c>
      <c r="AG3" s="211" t="s">
        <v>6</v>
      </c>
      <c r="AH3" s="212" t="s">
        <v>4</v>
      </c>
      <c r="AI3" s="213" t="s">
        <v>200</v>
      </c>
      <c r="AJ3" s="211" t="s">
        <v>222</v>
      </c>
    </row>
    <row r="4" spans="1:38" x14ac:dyDescent="0.3">
      <c r="C4" s="446" t="s">
        <v>66</v>
      </c>
      <c r="D4" s="317" t="s">
        <v>220</v>
      </c>
      <c r="E4" s="420" t="s">
        <v>65</v>
      </c>
      <c r="F4" s="446" t="s">
        <v>160</v>
      </c>
      <c r="G4" s="449" t="s">
        <v>9</v>
      </c>
      <c r="H4" s="200" t="s">
        <v>140</v>
      </c>
      <c r="I4" s="200" t="s">
        <v>5</v>
      </c>
      <c r="J4" s="200" t="s">
        <v>7</v>
      </c>
      <c r="K4" s="202" t="s">
        <v>140</v>
      </c>
      <c r="L4" s="200" t="s">
        <v>5</v>
      </c>
      <c r="M4" s="200" t="s">
        <v>7</v>
      </c>
      <c r="N4" s="200" t="s">
        <v>140</v>
      </c>
      <c r="O4" s="200" t="s">
        <v>5</v>
      </c>
      <c r="P4" s="201" t="s">
        <v>7</v>
      </c>
      <c r="Q4" s="201" t="s">
        <v>3</v>
      </c>
      <c r="R4" s="203" t="s">
        <v>5</v>
      </c>
      <c r="S4" s="202" t="s">
        <v>7</v>
      </c>
      <c r="T4" s="203" t="s">
        <v>3</v>
      </c>
      <c r="U4" s="203" t="s">
        <v>5</v>
      </c>
      <c r="V4" s="356" t="s">
        <v>7</v>
      </c>
      <c r="W4" s="205" t="s">
        <v>10</v>
      </c>
      <c r="X4" s="205" t="s">
        <v>10</v>
      </c>
      <c r="Y4" s="233" t="s">
        <v>10</v>
      </c>
      <c r="Z4" s="205" t="s">
        <v>10</v>
      </c>
      <c r="AA4" s="205">
        <v>0.05</v>
      </c>
      <c r="AB4" s="205">
        <v>0.55000000000000004</v>
      </c>
      <c r="AC4" s="205">
        <v>0.2</v>
      </c>
      <c r="AD4" s="205">
        <v>0.2</v>
      </c>
      <c r="AE4" s="273" t="s">
        <v>18</v>
      </c>
      <c r="AF4" s="235" t="s">
        <v>73</v>
      </c>
      <c r="AG4" s="214" t="s">
        <v>74</v>
      </c>
      <c r="AH4" s="214" t="s">
        <v>18</v>
      </c>
      <c r="AI4" s="215" t="s">
        <v>18</v>
      </c>
      <c r="AJ4" s="214" t="s">
        <v>18</v>
      </c>
    </row>
    <row r="5" spans="1:38" s="29" customFormat="1" hidden="1" x14ac:dyDescent="0.3">
      <c r="C5" s="447" t="s">
        <v>101</v>
      </c>
      <c r="D5" s="434" t="s">
        <v>296</v>
      </c>
      <c r="E5" s="434" t="str">
        <f>IFERROR(VLOOKUP(C5,COLABORADORES!$B$2:$J$60,2,0),"")</f>
        <v>COMPAÑÍA</v>
      </c>
      <c r="F5" s="447" t="str">
        <f>IFERROR(VLOOKUP(C5,COLABORADORES!$B$2:$J$60,5,0),"")</f>
        <v>MAURICIO RIVEROS CORTES</v>
      </c>
      <c r="G5" s="435">
        <f>IFERROR(VLOOKUP(C5,COLABORADORES!$B$2:$J$60,6,0),"")</f>
        <v>1032405997</v>
      </c>
      <c r="H5" s="450">
        <v>1086.0632358728963</v>
      </c>
      <c r="I5" s="436">
        <v>1154.0558947399998</v>
      </c>
      <c r="J5" s="451">
        <v>1.0626046961367366</v>
      </c>
      <c r="K5" s="436">
        <v>3058.8945522423014</v>
      </c>
      <c r="L5" s="436">
        <v>2927.0952544921233</v>
      </c>
      <c r="M5" s="437">
        <v>0.95691276848573825</v>
      </c>
      <c r="N5" s="436">
        <v>4144.9577881151981</v>
      </c>
      <c r="O5" s="436">
        <v>4081.1511492321233</v>
      </c>
      <c r="P5" s="438">
        <v>0.98460620297122758</v>
      </c>
      <c r="Q5" s="450">
        <v>3995.9399600000002</v>
      </c>
      <c r="R5" s="436">
        <v>5058.705164</v>
      </c>
      <c r="S5" s="451">
        <v>1.2659612543327603</v>
      </c>
      <c r="T5" s="436">
        <v>22.782963511541222</v>
      </c>
      <c r="U5" s="436">
        <v>16.796777354707821</v>
      </c>
      <c r="V5" s="437"/>
      <c r="W5" s="454">
        <v>1.1252093922734732</v>
      </c>
      <c r="X5" s="438">
        <v>0.95691276848573825</v>
      </c>
      <c r="Y5" s="438">
        <v>1.7978837629982809</v>
      </c>
      <c r="Z5" s="455">
        <v>0</v>
      </c>
      <c r="AA5" s="439">
        <v>5.6260469613673661E-2</v>
      </c>
      <c r="AB5" s="439">
        <v>0.52630202266715609</v>
      </c>
      <c r="AC5" s="439">
        <v>0.35957675259965621</v>
      </c>
      <c r="AD5" s="439">
        <v>0</v>
      </c>
      <c r="AE5" s="450">
        <v>3595900</v>
      </c>
      <c r="AF5" s="221">
        <v>161845.61814704729</v>
      </c>
      <c r="AG5" s="221">
        <v>1514023.5546470613</v>
      </c>
      <c r="AH5" s="221">
        <v>1034401.635738483</v>
      </c>
      <c r="AI5" s="221">
        <v>0</v>
      </c>
      <c r="AJ5" s="668">
        <v>2710270.8085325914</v>
      </c>
    </row>
    <row r="6" spans="1:38" s="29" customFormat="1" hidden="1" x14ac:dyDescent="0.3">
      <c r="C6" s="448" t="s">
        <v>101</v>
      </c>
      <c r="D6" s="440" t="s">
        <v>286</v>
      </c>
      <c r="E6" s="440" t="str">
        <f>IFERROR(VLOOKUP(C6,COLABORADORES!$B$2:$J$60,2,0),"")</f>
        <v>COMPAÑÍA</v>
      </c>
      <c r="F6" s="448" t="str">
        <f>IFERROR(VLOOKUP(C6,COLABORADORES!$B$2:$J$60,5,0),"")</f>
        <v>MAURICIO RIVEROS CORTES</v>
      </c>
      <c r="G6" s="441">
        <f>IFERROR(VLOOKUP(C6,COLABORADORES!$B$2:$J$60,6,0),"")</f>
        <v>1032405997</v>
      </c>
      <c r="H6" s="452">
        <v>949.17281687808656</v>
      </c>
      <c r="I6" s="442">
        <v>250.87758845779999</v>
      </c>
      <c r="J6" s="453">
        <v>0.26431181339870075</v>
      </c>
      <c r="K6" s="442">
        <v>3212.0148617510768</v>
      </c>
      <c r="L6" s="442">
        <v>3361.8217617667483</v>
      </c>
      <c r="M6" s="443">
        <v>1.0466395413668796</v>
      </c>
      <c r="N6" s="442">
        <v>4161.1876786291632</v>
      </c>
      <c r="O6" s="442">
        <v>3612.6993502245482</v>
      </c>
      <c r="P6" s="444">
        <v>0.86818947599467422</v>
      </c>
      <c r="Q6" s="452">
        <v>4222.8832129999992</v>
      </c>
      <c r="R6" s="442">
        <v>5021.5565620000007</v>
      </c>
      <c r="S6" s="453">
        <v>1.1891298690291301</v>
      </c>
      <c r="T6" s="442">
        <v>23.226342288834477</v>
      </c>
      <c r="U6" s="442">
        <v>38.546638039354356</v>
      </c>
      <c r="V6" s="443"/>
      <c r="W6" s="456">
        <v>0</v>
      </c>
      <c r="X6" s="444">
        <v>1.0932790827337593</v>
      </c>
      <c r="Y6" s="444">
        <v>1.5673896070873903</v>
      </c>
      <c r="Z6" s="457">
        <v>0.3</v>
      </c>
      <c r="AA6" s="445">
        <v>0</v>
      </c>
      <c r="AB6" s="445">
        <v>0.60130349550356765</v>
      </c>
      <c r="AC6" s="445">
        <v>0.3134779214174781</v>
      </c>
      <c r="AD6" s="445">
        <v>0.06</v>
      </c>
      <c r="AE6" s="452">
        <v>3595900</v>
      </c>
      <c r="AF6" s="326">
        <v>0</v>
      </c>
      <c r="AG6" s="326">
        <v>1729781.791585023</v>
      </c>
      <c r="AH6" s="326">
        <v>901788.20610008761</v>
      </c>
      <c r="AI6" s="326">
        <v>172603.19999999998</v>
      </c>
      <c r="AJ6" s="669">
        <v>2804173.1976851108</v>
      </c>
    </row>
    <row r="7" spans="1:38" s="68" customFormat="1" ht="15.75" customHeight="1" x14ac:dyDescent="0.3">
      <c r="A7" s="116">
        <v>2303</v>
      </c>
      <c r="B7" s="116" t="s">
        <v>152</v>
      </c>
      <c r="C7" s="318" t="s">
        <v>101</v>
      </c>
      <c r="D7" s="659" t="s">
        <v>295</v>
      </c>
      <c r="E7" s="659" t="str">
        <f>IFERROR(VLOOKUP(C7,COLABORADORES!$B$2:$J$60,2,0),"")</f>
        <v>COMPAÑÍA</v>
      </c>
      <c r="F7" s="752" t="str">
        <f>IFERROR(VLOOKUP(C7,COLABORADORES!$B$2:$J$60,5,0),"")</f>
        <v>MAURICIO RIVEROS CORTES</v>
      </c>
      <c r="G7" s="753">
        <f>IFERROR(VLOOKUP(C7,COLABORADORES!$B$2:$J$60,6,0),"")</f>
        <v>1032405997</v>
      </c>
      <c r="H7" s="754">
        <f>'TABLA DE LIQUIDACION RV'!J30</f>
        <v>435.57389960178193</v>
      </c>
      <c r="I7" s="308">
        <f>'TABLA DE LIQUIDACION RV'!K35</f>
        <v>1181.987472000676</v>
      </c>
      <c r="J7" s="755">
        <f>IFERROR(I7/H7,"")</f>
        <v>2.7136324584216216</v>
      </c>
      <c r="K7" s="308">
        <f>'TABLA DE LIQUIDACION RV'!M30</f>
        <v>3755.3525848600939</v>
      </c>
      <c r="L7" s="308">
        <f>'TABLA DE LIQUIDACION RV'!N35</f>
        <v>4168.1209420926543</v>
      </c>
      <c r="M7" s="553">
        <f>IFERROR(L7/K7,"")</f>
        <v>1.1099146745625585</v>
      </c>
      <c r="N7" s="308">
        <f>SUM(H7,K7)</f>
        <v>4190.9264844618756</v>
      </c>
      <c r="O7" s="308">
        <f>SUM(I7,L7)</f>
        <v>5350.1084140933308</v>
      </c>
      <c r="P7" s="756">
        <f>IFERROR(O7/N7,"")</f>
        <v>1.2765932387335344</v>
      </c>
      <c r="Q7" s="754">
        <f>'TABLA DE LIQUIDACION RV'!S30</f>
        <v>3504.1798909999998</v>
      </c>
      <c r="R7" s="308">
        <f>'TABLA DE LIQUIDACION RV'!T30</f>
        <v>5765.2090370000005</v>
      </c>
      <c r="S7" s="755">
        <f>IFERROR(R7/Q7,0)</f>
        <v>1.6452377492968158</v>
      </c>
      <c r="T7" s="308">
        <f>'SOPORTE RENTABILIDAD'!Q15/1000000</f>
        <v>59.057047770242086</v>
      </c>
      <c r="U7" s="308">
        <f>'SOPORTE RENTABILIDAD'!S14/1000000</f>
        <v>-2.7931002315606923</v>
      </c>
      <c r="V7" s="553"/>
      <c r="W7" s="757">
        <f>IF(J7&lt;'ACELERADORES DE CUMPLIMIENTO'!$G$4,0,IF(J7&lt;'ACELERADORES DE CUMPLIMIENTO'!$G$6,'ACELERADORES DE CUMPLIMIENTO'!$H$5,IF(J7&lt;='ACELERADORES DE CUMPLIMIENTO'!$G$8,'ACELERADORES DE CUMPLIMIENTO'!$H$7,IF(J7&lt;='ACELERADORES DE CUMPLIMIENTO'!$G$11,J7,IF(J7&lt;'ACELERADORES DE CUMPLIMIENTO'!$G$13,(((J7-1)*2)+1),IF(J7&lt;'ACELERADORES DE CUMPLIMIENTO'!$G$15,(((J7-1)*3)+1),190%))))))</f>
        <v>1.9</v>
      </c>
      <c r="X7" s="758">
        <f>IF(M7&lt;'ACELERADORES DE CUMPLIMIENTO'!$G$4,0,IF(M7&lt;'ACELERADORES DE CUMPLIMIENTO'!$G$6,'ACELERADORES DE CUMPLIMIENTO'!$H$5,IF(M7&lt;='ACELERADORES DE CUMPLIMIENTO'!$G$8,'ACELERADORES DE CUMPLIMIENTO'!$H$7,IF(M7&lt;='ACELERADORES DE CUMPLIMIENTO'!$G$11,M7,IF(M7&lt;'ACELERADORES DE CUMPLIMIENTO'!$G$13,(((M7-1)*2)+1),IF(M7&lt;'ACELERADORES DE CUMPLIMIENTO'!$G$15,(((M7-1)*3)+1),190%))))))</f>
        <v>1.3297440236876756</v>
      </c>
      <c r="Y7" s="758">
        <f>IF(S7&lt;'ACELERADORES DE CUMPLIMIENTO'!$G$4,0,IF(S7&lt;'ACELERADORES DE CUMPLIMIENTO'!$G$6,'ACELERADORES DE CUMPLIMIENTO'!$H$5,IF(S7&lt;='ACELERADORES DE CUMPLIMIENTO'!$G$8,'ACELERADORES DE CUMPLIMIENTO'!$H$7,IF(S7&lt;='ACELERADORES DE CUMPLIMIENTO'!$G$11,S7,IF(S7&lt;'ACELERADORES DE CUMPLIMIENTO'!$G$13,(((S7-1)*2)+1),IF(S7&lt;'ACELERADORES DE CUMPLIMIENTO'!$G$15,(((S7-1)*3)+1),190%))))))</f>
        <v>1.9</v>
      </c>
      <c r="Z7" s="843">
        <f>'SOPORTE RENTABILIDAD'!O14</f>
        <v>0</v>
      </c>
      <c r="AA7" s="582">
        <f>W7*AA$4</f>
        <v>9.5000000000000001E-2</v>
      </c>
      <c r="AB7" s="582">
        <f>X7*AB$4</f>
        <v>0.73135921302822171</v>
      </c>
      <c r="AC7" s="582">
        <f>Y7*AC$4</f>
        <v>0.38</v>
      </c>
      <c r="AD7" s="582">
        <f>Z7*AD$4</f>
        <v>0</v>
      </c>
      <c r="AE7" s="754">
        <f>IFERROR(VLOOKUP(G7,COLABORADORES!$G$2:$I$60,3,0),0)</f>
        <v>3595900</v>
      </c>
      <c r="AF7" s="223">
        <f>$AE7*AA7</f>
        <v>341610.5</v>
      </c>
      <c r="AG7" s="223">
        <f>$AE7*AB7</f>
        <v>2629894.5941281826</v>
      </c>
      <c r="AH7" s="223">
        <f>$AE7*AC7</f>
        <v>1366442</v>
      </c>
      <c r="AI7" s="308">
        <f>$AE7*AD7</f>
        <v>0</v>
      </c>
      <c r="AJ7" s="458">
        <f>SUM(AF7:AI7)</f>
        <v>4337947.0941281822</v>
      </c>
    </row>
    <row r="8" spans="1:38" ht="9" hidden="1" customHeight="1" x14ac:dyDescent="0.3">
      <c r="F8" s="613"/>
      <c r="G8" s="759"/>
      <c r="H8" s="613"/>
      <c r="I8" s="613"/>
      <c r="J8" s="760"/>
      <c r="K8" s="613"/>
      <c r="L8" s="613"/>
      <c r="M8" s="613"/>
      <c r="N8" s="613"/>
      <c r="O8" s="613"/>
      <c r="P8" s="613"/>
      <c r="Q8" s="613"/>
      <c r="R8" s="613"/>
      <c r="S8" s="613"/>
      <c r="T8" s="613"/>
      <c r="U8" s="613"/>
      <c r="V8" s="613"/>
      <c r="W8" s="613"/>
      <c r="X8" s="613"/>
      <c r="Y8" s="613"/>
      <c r="Z8" s="613"/>
      <c r="AA8" s="613"/>
      <c r="AB8" s="613"/>
      <c r="AC8" s="613"/>
      <c r="AD8" s="613"/>
      <c r="AE8" s="613"/>
      <c r="AI8" s="613"/>
    </row>
    <row r="9" spans="1:38" hidden="1" x14ac:dyDescent="0.3">
      <c r="F9" s="613"/>
      <c r="G9" s="759"/>
      <c r="H9" s="500"/>
      <c r="I9" s="500"/>
      <c r="J9" s="761"/>
      <c r="K9" s="500"/>
      <c r="L9" s="500"/>
      <c r="M9" s="501"/>
      <c r="N9" s="500"/>
      <c r="O9" s="500"/>
      <c r="P9" s="500"/>
      <c r="Q9" s="500"/>
      <c r="R9" s="500"/>
      <c r="S9" s="501"/>
      <c r="T9" s="500"/>
      <c r="U9" s="500"/>
      <c r="V9" s="501"/>
      <c r="W9" s="500"/>
      <c r="X9" s="500"/>
      <c r="Y9" s="500"/>
      <c r="Z9" s="500"/>
      <c r="AA9" s="501"/>
      <c r="AB9" s="762">
        <v>0.5</v>
      </c>
      <c r="AC9" s="763"/>
      <c r="AD9" s="762">
        <v>0.5</v>
      </c>
      <c r="AE9" s="500"/>
      <c r="AF9" s="258"/>
      <c r="AG9" s="258"/>
      <c r="AH9" s="260"/>
      <c r="AI9" s="500"/>
      <c r="AJ9" s="325"/>
    </row>
    <row r="10" spans="1:38" hidden="1" x14ac:dyDescent="0.3">
      <c r="F10" s="613"/>
      <c r="G10" s="759" t="s">
        <v>305</v>
      </c>
      <c r="H10" s="549">
        <f>SUM(H5:H7)</f>
        <v>2470.8099523527644</v>
      </c>
      <c r="I10" s="602">
        <f>SUM(I5:I7)</f>
        <v>2586.9209551984759</v>
      </c>
      <c r="J10" s="764">
        <f>IFERROR(I10/H10,"")</f>
        <v>1.0469930933923703</v>
      </c>
      <c r="K10" s="602">
        <f>SUM(K5:K7)</f>
        <v>10026.261998853472</v>
      </c>
      <c r="L10" s="602">
        <f>SUM(L5:L7)</f>
        <v>10457.037958351526</v>
      </c>
      <c r="M10" s="764">
        <f>IFERROR(L10/K10,"")</f>
        <v>1.0429647618970375</v>
      </c>
      <c r="N10" s="765"/>
      <c r="O10" s="765"/>
      <c r="P10" s="765"/>
      <c r="Q10" s="602">
        <f>SUM(Q5:Q7)</f>
        <v>11723.003063999999</v>
      </c>
      <c r="R10" s="602">
        <f>SUM(R5:R7)</f>
        <v>15845.470763000001</v>
      </c>
      <c r="S10" s="603">
        <f>IFERROR(R10/Q10,0)</f>
        <v>1.3516562843576856</v>
      </c>
      <c r="T10" s="602">
        <f>SUM(T5:T7)</f>
        <v>105.06635357061779</v>
      </c>
      <c r="U10" s="602">
        <f>SUM(U5:U7)</f>
        <v>52.550315162501484</v>
      </c>
      <c r="V10" s="603"/>
      <c r="W10" s="748"/>
      <c r="X10" s="749">
        <f>IF(M10&lt;'ACELERADORES DE CUMPLIMIENTO'!$G$4,0,IF(M10&lt;'ACELERADORES DE CUMPLIMIENTO'!$G$6,'ACELERADORES DE CUMPLIMIENTO'!$H$5,IF(M10&lt;='ACELERADORES DE CUMPLIMIENTO'!$G$8,'ACELERADORES DE CUMPLIMIENTO'!$H$7,IF(M10&lt;='ACELERADORES DE CUMPLIMIENTO'!$G$11,M10,IF(M10&lt;'ACELERADORES DE CUMPLIMIENTO'!$G$13,(((M10-1)*2)+1),IF(M10&lt;'ACELERADORES DE CUMPLIMIENTO'!$G$15,(((M10-1)*3)+1),190%))))))</f>
        <v>1.0859295237940749</v>
      </c>
      <c r="Y10" s="749"/>
      <c r="Z10" s="842">
        <f>'SOPORTE RENTABILIDAD'!O15</f>
        <v>0.3</v>
      </c>
      <c r="AA10" s="766">
        <f>W10*0%</f>
        <v>0</v>
      </c>
      <c r="AB10" s="767">
        <f>X10*AB9</f>
        <v>0.54296476189703746</v>
      </c>
      <c r="AC10" s="767">
        <f>Y10*0%</f>
        <v>0</v>
      </c>
      <c r="AD10" s="768">
        <f>Z10*AD9</f>
        <v>0.15</v>
      </c>
      <c r="AE10" s="611"/>
      <c r="AF10" s="418" t="e">
        <f>$AG10*AA10</f>
        <v>#REF!</v>
      </c>
      <c r="AG10" s="417" t="e">
        <f>AB10*#REF!</f>
        <v>#REF!</v>
      </c>
      <c r="AH10" s="417" t="e">
        <f>$AG10*AC10</f>
        <v>#REF!</v>
      </c>
      <c r="AI10" s="611" t="e">
        <f>#REF!*AD10</f>
        <v>#REF!</v>
      </c>
      <c r="AJ10" s="419" t="e">
        <f>SUM(AF10:AI10)</f>
        <v>#REF!</v>
      </c>
      <c r="AL10" s="459" t="e">
        <f>AJ7+AJ10</f>
        <v>#REF!</v>
      </c>
    </row>
    <row r="11" spans="1:38" hidden="1" x14ac:dyDescent="0.3">
      <c r="F11" s="613"/>
      <c r="G11" s="759"/>
      <c r="H11" s="769"/>
      <c r="I11" s="769"/>
      <c r="J11" s="613"/>
      <c r="K11" s="613"/>
      <c r="L11" s="613"/>
      <c r="M11" s="613"/>
      <c r="N11" s="613"/>
      <c r="O11" s="613"/>
      <c r="P11" s="613"/>
      <c r="Q11" s="613"/>
      <c r="R11" s="613"/>
      <c r="S11" s="613"/>
      <c r="T11" s="613"/>
      <c r="U11" s="613"/>
      <c r="V11" s="613"/>
      <c r="W11" s="613"/>
      <c r="X11" s="613"/>
      <c r="Y11" s="613"/>
      <c r="Z11" s="613"/>
      <c r="AA11" s="613"/>
      <c r="AB11" s="613"/>
      <c r="AC11" s="613"/>
      <c r="AD11" s="613"/>
      <c r="AE11" s="613"/>
      <c r="AI11" s="613"/>
    </row>
    <row r="12" spans="1:38" s="42" customFormat="1" hidden="1" x14ac:dyDescent="0.3">
      <c r="A12"/>
      <c r="B12" s="384" t="s">
        <v>184</v>
      </c>
      <c r="C12" s="370" t="s">
        <v>237</v>
      </c>
      <c r="D12" s="660" t="s">
        <v>296</v>
      </c>
      <c r="E12" s="661" t="s">
        <v>189</v>
      </c>
      <c r="F12" s="770" t="s">
        <v>201</v>
      </c>
      <c r="G12" s="771">
        <v>1026255257</v>
      </c>
      <c r="H12" s="604">
        <v>1086.0632358728963</v>
      </c>
      <c r="I12" s="605">
        <v>1154.0558947399998</v>
      </c>
      <c r="J12" s="772">
        <v>1.0626046961367366</v>
      </c>
      <c r="K12" s="604">
        <v>3058.8945522423014</v>
      </c>
      <c r="L12" s="605">
        <v>2927.0952544921233</v>
      </c>
      <c r="M12" s="772">
        <v>0.95691276848573825</v>
      </c>
      <c r="N12" s="605">
        <v>4144.9577881151981</v>
      </c>
      <c r="O12" s="605">
        <v>4081.1511492321233</v>
      </c>
      <c r="P12" s="773">
        <v>0.98460620297122758</v>
      </c>
      <c r="Q12" s="604">
        <v>3995.9399600000002</v>
      </c>
      <c r="R12" s="605">
        <v>5058.705164</v>
      </c>
      <c r="S12" s="606">
        <v>1.2659612543327603</v>
      </c>
      <c r="T12" s="604">
        <v>22.782963511541222</v>
      </c>
      <c r="U12" s="605">
        <v>16.796777354707821</v>
      </c>
      <c r="V12" s="606"/>
      <c r="W12" s="774">
        <v>1.1252093922734732</v>
      </c>
      <c r="X12" s="775">
        <v>0.95691276848573825</v>
      </c>
      <c r="Y12" s="775">
        <v>1.7978837629982809</v>
      </c>
      <c r="Z12" s="844">
        <v>0</v>
      </c>
      <c r="AA12" s="776">
        <v>5.6260469613673661E-2</v>
      </c>
      <c r="AB12" s="776">
        <v>0.52630202266715609</v>
      </c>
      <c r="AC12" s="776">
        <v>0.35957675259965621</v>
      </c>
      <c r="AD12" s="776">
        <v>0</v>
      </c>
      <c r="AE12" s="777">
        <v>3543251.4</v>
      </c>
      <c r="AF12" s="666">
        <v>159475.99017864533</v>
      </c>
      <c r="AG12" s="666">
        <v>1491856.3029105861</v>
      </c>
      <c r="AH12" s="666">
        <v>1019256.6656449485</v>
      </c>
      <c r="AI12" s="666">
        <v>0</v>
      </c>
      <c r="AJ12" s="662">
        <v>2670588.9587341798</v>
      </c>
      <c r="AK12"/>
    </row>
    <row r="13" spans="1:38" hidden="1" x14ac:dyDescent="0.3">
      <c r="A13" s="116"/>
      <c r="B13" s="385" t="s">
        <v>184</v>
      </c>
      <c r="C13" s="377" t="s">
        <v>257</v>
      </c>
      <c r="D13" s="663" t="s">
        <v>286</v>
      </c>
      <c r="E13" s="664" t="s">
        <v>189</v>
      </c>
      <c r="F13" s="778" t="s">
        <v>201</v>
      </c>
      <c r="G13" s="779">
        <v>1026255257</v>
      </c>
      <c r="H13" s="607">
        <v>949.17281687808656</v>
      </c>
      <c r="I13" s="608">
        <v>250.87758845779999</v>
      </c>
      <c r="J13" s="780">
        <v>0.26431181339870075</v>
      </c>
      <c r="K13" s="607">
        <v>3212.0148617510768</v>
      </c>
      <c r="L13" s="608">
        <v>3361.8217617667483</v>
      </c>
      <c r="M13" s="780">
        <v>1.0466395413668796</v>
      </c>
      <c r="N13" s="608">
        <v>4161.1876786291632</v>
      </c>
      <c r="O13" s="608">
        <v>3612.6993502245482</v>
      </c>
      <c r="P13" s="781">
        <v>0.86818947599467422</v>
      </c>
      <c r="Q13" s="607">
        <v>4222.8832129999992</v>
      </c>
      <c r="R13" s="608">
        <v>5021.5565620000007</v>
      </c>
      <c r="S13" s="609">
        <v>1.1891298690291301</v>
      </c>
      <c r="T13" s="607">
        <v>23.226342288834477</v>
      </c>
      <c r="U13" s="608">
        <v>38.546638039354356</v>
      </c>
      <c r="V13" s="609"/>
      <c r="W13" s="782">
        <v>0</v>
      </c>
      <c r="X13" s="783">
        <v>1.0932790827337593</v>
      </c>
      <c r="Y13" s="783">
        <v>1.5673896070873903</v>
      </c>
      <c r="Z13" s="845">
        <v>0.3</v>
      </c>
      <c r="AA13" s="784">
        <v>0</v>
      </c>
      <c r="AB13" s="784">
        <v>0.60130349550356765</v>
      </c>
      <c r="AC13" s="784">
        <v>0.3134779214174781</v>
      </c>
      <c r="AD13" s="784">
        <v>0.06</v>
      </c>
      <c r="AE13" s="785">
        <v>3543251.4</v>
      </c>
      <c r="AF13" s="667">
        <v>0</v>
      </c>
      <c r="AG13" s="667">
        <v>1704455.561814328</v>
      </c>
      <c r="AH13" s="667">
        <v>888584.86714525544</v>
      </c>
      <c r="AI13" s="667">
        <v>170076.06719999999</v>
      </c>
      <c r="AJ13" s="665">
        <v>2763116.4961595833</v>
      </c>
    </row>
    <row r="14" spans="1:38" x14ac:dyDescent="0.3">
      <c r="A14" s="116" t="s">
        <v>48</v>
      </c>
      <c r="B14" s="386" t="s">
        <v>184</v>
      </c>
      <c r="C14" s="369" t="s">
        <v>259</v>
      </c>
      <c r="D14" s="659" t="s">
        <v>295</v>
      </c>
      <c r="E14" s="433" t="str">
        <f>IFERROR(VLOOKUP(C14,COLABORADORES!$B$2:$J$60,2,0),"")</f>
        <v/>
      </c>
      <c r="F14" s="742" t="str">
        <f>IFERROR(VLOOKUP(B14,COLABORADORES!$B$3:$J$60,5,0),"")</f>
        <v>CASTAÑO BEJARANO CARLOS ANDRÉS</v>
      </c>
      <c r="G14" s="743">
        <f>IFERROR(VLOOKUP(B14,COLABORADORES!$B$3:$J$60,6,0),"")</f>
        <v>1026255257</v>
      </c>
      <c r="H14" s="744">
        <f>H7</f>
        <v>435.57389960178193</v>
      </c>
      <c r="I14" s="745">
        <f>I7</f>
        <v>1181.987472000676</v>
      </c>
      <c r="J14" s="755">
        <f>IFERROR(I14/H14,"")</f>
        <v>2.7136324584216216</v>
      </c>
      <c r="K14" s="744">
        <f>K7</f>
        <v>3755.3525848600939</v>
      </c>
      <c r="L14" s="745">
        <f>L7</f>
        <v>4168.1209420926543</v>
      </c>
      <c r="M14" s="553">
        <f>IFERROR(L14/K14,"")</f>
        <v>1.1099146745625585</v>
      </c>
      <c r="N14" s="745">
        <f>SUM(H14,K14)</f>
        <v>4190.9264844618756</v>
      </c>
      <c r="O14" s="745">
        <f>SUM(I14,L14)</f>
        <v>5350.1084140933308</v>
      </c>
      <c r="P14" s="756">
        <f>IFERROR(O14/N14,"")</f>
        <v>1.2765932387335344</v>
      </c>
      <c r="Q14" s="754">
        <f>Q7</f>
        <v>3504.1798909999998</v>
      </c>
      <c r="R14" s="308">
        <f>R7</f>
        <v>5765.2090370000005</v>
      </c>
      <c r="S14" s="755">
        <f>IFERROR(R14/Q14,0)</f>
        <v>1.6452377492968158</v>
      </c>
      <c r="T14" s="308">
        <f>'SOPORTE RENTABILIDAD'!Q15/1000000</f>
        <v>59.057047770242086</v>
      </c>
      <c r="U14" s="308">
        <f>'SOPORTE RENTABILIDAD'!S14/1000000</f>
        <v>-2.7931002315606923</v>
      </c>
      <c r="V14" s="553"/>
      <c r="W14" s="757">
        <f>IF(J14&lt;'ACELERADORES DE CUMPLIMIENTO'!$G$4,0,IF(J14&lt;'ACELERADORES DE CUMPLIMIENTO'!$G$6,'ACELERADORES DE CUMPLIMIENTO'!$H$5,IF(J14&lt;='ACELERADORES DE CUMPLIMIENTO'!$G$8,'ACELERADORES DE CUMPLIMIENTO'!$H$7,IF(J14&lt;='ACELERADORES DE CUMPLIMIENTO'!$G$11,J14,IF(J14&lt;'ACELERADORES DE CUMPLIMIENTO'!$G$13,(((J14-1)*2)+1),IF(J14&lt;'ACELERADORES DE CUMPLIMIENTO'!$G$15,(((J14-1)*3)+1),190%))))))</f>
        <v>1.9</v>
      </c>
      <c r="X14" s="758">
        <f>IF(M14&lt;'ACELERADORES DE CUMPLIMIENTO'!$G$4,0,IF(M14&lt;'ACELERADORES DE CUMPLIMIENTO'!$G$6,'ACELERADORES DE CUMPLIMIENTO'!$H$5,IF(M14&lt;='ACELERADORES DE CUMPLIMIENTO'!$G$8,'ACELERADORES DE CUMPLIMIENTO'!$H$7,IF(M14&lt;='ACELERADORES DE CUMPLIMIENTO'!$G$11,M14,IF(M14&lt;'ACELERADORES DE CUMPLIMIENTO'!$G$13,(((M14-1)*2)+1),IF(M14&lt;'ACELERADORES DE CUMPLIMIENTO'!$G$15,(((M14-1)*3)+1),190%))))))</f>
        <v>1.3297440236876756</v>
      </c>
      <c r="Y14" s="758">
        <f>IF(S14&lt;'ACELERADORES DE CUMPLIMIENTO'!$G$4,0,IF(S14&lt;'ACELERADORES DE CUMPLIMIENTO'!$G$6,'ACELERADORES DE CUMPLIMIENTO'!$H$5,IF(S14&lt;='ACELERADORES DE CUMPLIMIENTO'!$G$8,'ACELERADORES DE CUMPLIMIENTO'!$H$7,IF(S14&lt;='ACELERADORES DE CUMPLIMIENTO'!$G$11,S14,IF(S14&lt;'ACELERADORES DE CUMPLIMIENTO'!$G$13,(((S14-1)*2)+1),IF(S14&lt;'ACELERADORES DE CUMPLIMIENTO'!$G$15,(((S14-1)*3)+1),190%))))))</f>
        <v>1.9</v>
      </c>
      <c r="Z14" s="843">
        <f>'SOPORTE RENTABILIDAD'!O14</f>
        <v>0</v>
      </c>
      <c r="AA14" s="582">
        <f>W14*AA$4</f>
        <v>9.5000000000000001E-2</v>
      </c>
      <c r="AB14" s="582">
        <f>X14*AB$4</f>
        <v>0.73135921302822171</v>
      </c>
      <c r="AC14" s="582">
        <f>Y14*AC$4</f>
        <v>0.38</v>
      </c>
      <c r="AD14" s="582">
        <f>Z14*AD$4</f>
        <v>0</v>
      </c>
      <c r="AE14" s="751">
        <f>IFERROR(VLOOKUP(G14,COLABORADORES!$G$3:$I$60,3,0),0)</f>
        <v>3543251.4</v>
      </c>
      <c r="AF14" s="550">
        <f>$AE14*AA14</f>
        <v>336608.88299999997</v>
      </c>
      <c r="AG14" s="268">
        <f>$AE14*AB14</f>
        <v>2591389.5554651446</v>
      </c>
      <c r="AH14" s="268">
        <f>$AE14*AC14</f>
        <v>1346435.5319999999</v>
      </c>
      <c r="AI14" s="614">
        <f>AD14*AE14</f>
        <v>0</v>
      </c>
      <c r="AJ14" s="458">
        <f>SUM(AF14:AI14)</f>
        <v>4274433.9704651441</v>
      </c>
    </row>
    <row r="15" spans="1:38" ht="5.4" customHeight="1" x14ac:dyDescent="0.3">
      <c r="Z15" s="613"/>
      <c r="AE15"/>
    </row>
    <row r="16" spans="1:38" hidden="1" x14ac:dyDescent="0.3">
      <c r="H16" s="260"/>
      <c r="I16" s="260"/>
      <c r="J16" s="312"/>
      <c r="K16" s="260"/>
      <c r="L16" s="260"/>
      <c r="M16" s="313"/>
      <c r="N16" s="260"/>
      <c r="O16" s="260"/>
      <c r="P16" s="260"/>
      <c r="Q16" s="260"/>
      <c r="R16" s="260"/>
      <c r="S16" s="313"/>
      <c r="T16" s="500"/>
      <c r="U16" s="500"/>
      <c r="V16" s="501"/>
      <c r="W16" s="260"/>
      <c r="X16" s="260"/>
      <c r="Y16" s="260"/>
      <c r="Z16" s="260"/>
      <c r="AA16" s="313"/>
      <c r="AB16" s="408">
        <v>0.5</v>
      </c>
      <c r="AC16" s="258"/>
      <c r="AD16" s="408">
        <v>0.5</v>
      </c>
      <c r="AE16" s="260"/>
      <c r="AF16" s="258"/>
      <c r="AG16" s="258"/>
      <c r="AH16" s="260"/>
      <c r="AI16" s="500"/>
      <c r="AJ16" s="325"/>
    </row>
    <row r="17" spans="7:38" hidden="1" x14ac:dyDescent="0.3">
      <c r="G17" s="119" t="s">
        <v>306</v>
      </c>
      <c r="H17" s="363">
        <f>SUM(H12:H14)</f>
        <v>2470.8099523527644</v>
      </c>
      <c r="I17" s="364">
        <f>SUM(I12:I14)</f>
        <v>2586.9209551984759</v>
      </c>
      <c r="J17" s="409">
        <f>IFERROR(I17/H17,"")</f>
        <v>1.0469930933923703</v>
      </c>
      <c r="K17" s="364">
        <f>SUM(K12:K14)</f>
        <v>10026.261998853472</v>
      </c>
      <c r="L17" s="364">
        <f>SUM(L12:L14)</f>
        <v>10457.037958351526</v>
      </c>
      <c r="M17" s="409">
        <f>IFERROR(L17/K17,"")</f>
        <v>1.0429647618970375</v>
      </c>
      <c r="N17" s="365"/>
      <c r="O17" s="365"/>
      <c r="P17" s="365"/>
      <c r="Q17" s="364">
        <f>SUM(Q12:Q14)</f>
        <v>11723.003063999999</v>
      </c>
      <c r="R17" s="364">
        <f>SUM(R12:R14)</f>
        <v>15845.470763000001</v>
      </c>
      <c r="S17" s="410">
        <f>IFERROR(R17/Q17,0)</f>
        <v>1.3516562843576856</v>
      </c>
      <c r="T17" s="602">
        <f>SUM(T12:T14)</f>
        <v>105.06635357061779</v>
      </c>
      <c r="U17" s="602">
        <f>SUM(U12:U14)</f>
        <v>52.550315162501484</v>
      </c>
      <c r="V17" s="603"/>
      <c r="W17" s="411"/>
      <c r="X17" s="412">
        <f>IF(M17&lt;'ACELERADORES DE CUMPLIMIENTO'!$G$4,0,IF(M17&lt;'ACELERADORES DE CUMPLIMIENTO'!$G$6,'ACELERADORES DE CUMPLIMIENTO'!$H$5,IF(M17&lt;='ACELERADORES DE CUMPLIMIENTO'!$G$8,'ACELERADORES DE CUMPLIMIENTO'!$H$7,IF(M17&lt;='ACELERADORES DE CUMPLIMIENTO'!$G$11,M17,IF(M17&lt;'ACELERADORES DE CUMPLIMIENTO'!$G$13,(((M17-1)*2)+1),IF(M17&lt;'ACELERADORES DE CUMPLIMIENTO'!$G$15,(((M17-1)*3)+1),190%))))))</f>
        <v>1.0859295237940749</v>
      </c>
      <c r="Y17" s="412"/>
      <c r="Z17" s="413">
        <f>'SOPORTE RENTABILIDAD'!O15</f>
        <v>0.3</v>
      </c>
      <c r="AA17" s="414">
        <f>W17*0%</f>
        <v>0</v>
      </c>
      <c r="AB17" s="415">
        <f>X17*AB16</f>
        <v>0.54296476189703746</v>
      </c>
      <c r="AC17" s="415">
        <f>Y17*0%</f>
        <v>0</v>
      </c>
      <c r="AD17" s="416">
        <f>Z17*AD16</f>
        <v>0.15</v>
      </c>
      <c r="AE17" s="417"/>
      <c r="AF17" s="418" t="e">
        <f>$AG17*AA17</f>
        <v>#REF!</v>
      </c>
      <c r="AG17" s="417" t="e">
        <f>AB17*#REF!</f>
        <v>#REF!</v>
      </c>
      <c r="AH17" s="417" t="e">
        <f>$AG17*AC17</f>
        <v>#REF!</v>
      </c>
      <c r="AI17" s="611" t="e">
        <f>#REF!*AD17</f>
        <v>#REF!</v>
      </c>
      <c r="AJ17" s="419" t="e">
        <f>SUM(AF17:AI17)</f>
        <v>#REF!</v>
      </c>
      <c r="AL17" s="459" t="e">
        <f>AJ14+AJ17</f>
        <v>#REF!</v>
      </c>
    </row>
    <row r="18" spans="7:38" hidden="1" x14ac:dyDescent="0.3"/>
  </sheetData>
  <mergeCells count="10">
    <mergeCell ref="AF2:AJ2"/>
    <mergeCell ref="H3:J3"/>
    <mergeCell ref="K3:M3"/>
    <mergeCell ref="N3:P3"/>
    <mergeCell ref="W2:Z2"/>
    <mergeCell ref="AA2:AD2"/>
    <mergeCell ref="T2:V3"/>
    <mergeCell ref="H2:P2"/>
    <mergeCell ref="Q2:S3"/>
    <mergeCell ref="AE2:AE3"/>
  </mergeCells>
  <phoneticPr fontId="12" type="noConversion"/>
  <conditionalFormatting sqref="AI10">
    <cfRule type="cellIs" dxfId="3" priority="21" operator="lessThan">
      <formula>0</formula>
    </cfRule>
  </conditionalFormatting>
  <conditionalFormatting sqref="V10">
    <cfRule type="iconSet" priority="22">
      <iconSet iconSet="3Symbols2">
        <cfvo type="percent" val="0"/>
        <cfvo type="formula" val="#REF!"/>
        <cfvo type="formula" val="#REF!"/>
      </iconSet>
    </cfRule>
  </conditionalFormatting>
  <conditionalFormatting sqref="AI14">
    <cfRule type="cellIs" dxfId="2" priority="18" operator="lessThan">
      <formula>0</formula>
    </cfRule>
  </conditionalFormatting>
  <conditionalFormatting sqref="AI12:AI13">
    <cfRule type="cellIs" dxfId="1" priority="15" operator="lessThan">
      <formula>0</formula>
    </cfRule>
  </conditionalFormatting>
  <conditionalFormatting sqref="V12:V13">
    <cfRule type="iconSet" priority="13">
      <iconSet iconSet="3Symbols2">
        <cfvo type="percent" val="0"/>
        <cfvo type="formula" val="#REF!"/>
        <cfvo type="formula" val="#REF!"/>
      </iconSet>
    </cfRule>
  </conditionalFormatting>
  <conditionalFormatting sqref="V12:V13">
    <cfRule type="iconSet" priority="14">
      <iconSet iconSet="3Symbols2">
        <cfvo type="percent" val="0"/>
        <cfvo type="formula" val="$D$2"/>
        <cfvo type="formula" val="$D$2"/>
      </iconSet>
    </cfRule>
  </conditionalFormatting>
  <conditionalFormatting sqref="P14">
    <cfRule type="iconSet" priority="10">
      <iconSet iconSet="3Symbols2">
        <cfvo type="percent" val="0"/>
        <cfvo type="formula" val="$J$8"/>
        <cfvo type="formula" val="$J$8"/>
      </iconSet>
    </cfRule>
  </conditionalFormatting>
  <conditionalFormatting sqref="V14">
    <cfRule type="iconSet" priority="8">
      <iconSet iconSet="3Symbols2">
        <cfvo type="percent" val="0"/>
        <cfvo type="formula" val="$J$8"/>
        <cfvo type="formula" val="$J$8"/>
      </iconSet>
    </cfRule>
  </conditionalFormatting>
  <conditionalFormatting sqref="AI17">
    <cfRule type="cellIs" dxfId="0" priority="2" operator="lessThan">
      <formula>0</formula>
    </cfRule>
  </conditionalFormatting>
  <conditionalFormatting sqref="V17">
    <cfRule type="iconSet" priority="3">
      <iconSet iconSet="3Symbols2">
        <cfvo type="percent" val="0"/>
        <cfvo type="formula" val="#REF!"/>
        <cfvo type="formula" val="#REF!"/>
      </iconSet>
    </cfRule>
  </conditionalFormatting>
  <conditionalFormatting sqref="J5:J17 M5:M17 S5:S17">
    <cfRule type="iconSet" priority="357">
      <iconSet iconSet="3Symbols2">
        <cfvo type="percent" val="0"/>
        <cfvo type="formula" val="$D$2"/>
        <cfvo type="formula" val="$D$2"/>
      </iconSet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48AF-C49D-4CE7-B0C7-B583E58470D9}">
  <sheetPr codeName="Hoja8">
    <tabColor rgb="FF00B050"/>
  </sheetPr>
  <dimension ref="B3:V61"/>
  <sheetViews>
    <sheetView showGridLines="0" zoomScale="60" zoomScaleNormal="60" workbookViewId="0">
      <pane xSplit="1" ySplit="4" topLeftCell="B5" activePane="bottomRight" state="frozen"/>
      <selection pane="topRight" activeCell="D1" sqref="D1"/>
      <selection pane="bottomLeft" activeCell="A13" sqref="A13"/>
      <selection pane="bottomRight" activeCell="C4" sqref="C4:P31"/>
    </sheetView>
  </sheetViews>
  <sheetFormatPr baseColWidth="10" defaultRowHeight="14.4" x14ac:dyDescent="0.3"/>
  <cols>
    <col min="1" max="1" width="12.5546875" bestFit="1" customWidth="1"/>
    <col min="2" max="2" width="9.88671875" customWidth="1"/>
    <col min="3" max="3" width="9.88671875" style="121" customWidth="1"/>
    <col min="4" max="4" width="37.33203125" customWidth="1"/>
    <col min="5" max="5" width="16.6640625" customWidth="1"/>
    <col min="6" max="6" width="10.5546875" customWidth="1"/>
    <col min="7" max="7" width="13.6640625" bestFit="1" customWidth="1"/>
    <col min="8" max="8" width="14.44140625" customWidth="1"/>
    <col min="9" max="9" width="21.33203125" customWidth="1"/>
    <col min="10" max="11" width="13.6640625" bestFit="1" customWidth="1"/>
    <col min="12" max="12" width="18.44140625" customWidth="1"/>
    <col min="13" max="13" width="18" customWidth="1"/>
    <col min="14" max="14" width="13.6640625" customWidth="1"/>
    <col min="15" max="15" width="18.88671875" customWidth="1"/>
    <col min="16" max="16" width="15.44140625" customWidth="1"/>
    <col min="17" max="17" width="17.44140625" bestFit="1" customWidth="1"/>
    <col min="18" max="19" width="17.44140625" customWidth="1"/>
    <col min="20" max="20" width="7.44140625" customWidth="1"/>
    <col min="21" max="21" width="17.44140625" customWidth="1"/>
    <col min="22" max="22" width="17.44140625" bestFit="1" customWidth="1"/>
    <col min="23" max="23" width="16.33203125" bestFit="1" customWidth="1"/>
    <col min="24" max="24" width="18.5546875" bestFit="1" customWidth="1"/>
    <col min="25" max="25" width="15" bestFit="1" customWidth="1"/>
    <col min="26" max="26" width="17.44140625" bestFit="1" customWidth="1"/>
  </cols>
  <sheetData>
    <row r="3" spans="2:22" x14ac:dyDescent="0.3">
      <c r="C3" s="142"/>
      <c r="D3" s="30"/>
      <c r="E3" s="117" t="s">
        <v>146</v>
      </c>
      <c r="F3" s="117"/>
      <c r="G3" s="117"/>
      <c r="H3" s="118" t="s">
        <v>141</v>
      </c>
      <c r="I3" s="118"/>
      <c r="J3" s="118"/>
      <c r="K3" s="117" t="s">
        <v>147</v>
      </c>
      <c r="L3" s="117"/>
      <c r="M3" s="117"/>
      <c r="N3" s="117" t="s">
        <v>187</v>
      </c>
      <c r="O3" s="117"/>
      <c r="P3" s="117"/>
    </row>
    <row r="4" spans="2:22" ht="45.75" customHeight="1" x14ac:dyDescent="0.3">
      <c r="B4" s="5"/>
      <c r="C4" s="554" t="s">
        <v>67</v>
      </c>
      <c r="D4" s="555" t="s">
        <v>68</v>
      </c>
      <c r="E4" s="555" t="s">
        <v>73</v>
      </c>
      <c r="F4" s="555" t="s">
        <v>74</v>
      </c>
      <c r="G4" s="555" t="s">
        <v>76</v>
      </c>
      <c r="H4" s="555" t="s">
        <v>73</v>
      </c>
      <c r="I4" s="555" t="s">
        <v>74</v>
      </c>
      <c r="J4" s="555" t="s">
        <v>76</v>
      </c>
      <c r="K4" s="555" t="s">
        <v>73</v>
      </c>
      <c r="L4" s="555" t="s">
        <v>74</v>
      </c>
      <c r="M4" s="555" t="s">
        <v>76</v>
      </c>
      <c r="N4" s="555" t="s">
        <v>73</v>
      </c>
      <c r="O4" s="555" t="s">
        <v>74</v>
      </c>
      <c r="P4" s="555" t="s">
        <v>76</v>
      </c>
      <c r="V4" s="5"/>
    </row>
    <row r="5" spans="2:22" x14ac:dyDescent="0.3">
      <c r="B5" s="5"/>
      <c r="C5" s="556" t="s">
        <v>57</v>
      </c>
      <c r="D5" s="195" t="s">
        <v>451</v>
      </c>
      <c r="E5" s="557"/>
      <c r="F5" s="557"/>
      <c r="G5" s="557"/>
      <c r="H5" s="557"/>
      <c r="I5" s="557"/>
      <c r="J5" s="557">
        <v>141</v>
      </c>
      <c r="K5" s="558"/>
      <c r="L5" s="558"/>
      <c r="M5" s="558"/>
      <c r="N5" s="195"/>
      <c r="O5" s="195"/>
      <c r="P5" s="195">
        <v>8.1401302500000003</v>
      </c>
      <c r="V5" s="5"/>
    </row>
    <row r="6" spans="2:22" s="29" customFormat="1" x14ac:dyDescent="0.3">
      <c r="C6" s="697" t="s">
        <v>58</v>
      </c>
      <c r="D6" s="287" t="s">
        <v>283</v>
      </c>
      <c r="E6" s="698">
        <v>110</v>
      </c>
      <c r="F6" s="698">
        <v>303</v>
      </c>
      <c r="G6" s="698">
        <v>134</v>
      </c>
      <c r="H6" s="698">
        <v>110</v>
      </c>
      <c r="I6" s="698">
        <v>641.29393949793746</v>
      </c>
      <c r="J6" s="698">
        <v>95.5</v>
      </c>
      <c r="K6" s="567">
        <v>5.9955513000000007</v>
      </c>
      <c r="L6" s="567">
        <v>20.572031543800001</v>
      </c>
      <c r="M6" s="567">
        <v>8.0401843999999993</v>
      </c>
      <c r="N6" s="287">
        <v>5.4912145848099998</v>
      </c>
      <c r="O6" s="287">
        <v>47.015286371106676</v>
      </c>
      <c r="P6" s="287">
        <v>6.5946914250000006</v>
      </c>
    </row>
    <row r="7" spans="2:22" s="29" customFormat="1" x14ac:dyDescent="0.3">
      <c r="C7" s="697" t="s">
        <v>54</v>
      </c>
      <c r="D7" s="287" t="s">
        <v>109</v>
      </c>
      <c r="E7" s="698"/>
      <c r="F7" s="698">
        <v>3749</v>
      </c>
      <c r="G7" s="698">
        <v>220</v>
      </c>
      <c r="H7" s="698"/>
      <c r="I7" s="698">
        <v>4635</v>
      </c>
      <c r="J7" s="698">
        <v>80</v>
      </c>
      <c r="K7" s="567"/>
      <c r="L7" s="567">
        <v>261.97041416000002</v>
      </c>
      <c r="M7" s="567">
        <v>19.901875400000002</v>
      </c>
      <c r="N7" s="287"/>
      <c r="O7" s="287">
        <v>323.23777206628</v>
      </c>
      <c r="P7" s="287">
        <v>6.5791319999999995</v>
      </c>
    </row>
    <row r="8" spans="2:22" s="29" customFormat="1" x14ac:dyDescent="0.3">
      <c r="C8" s="697" t="s">
        <v>41</v>
      </c>
      <c r="D8" s="287" t="s">
        <v>225</v>
      </c>
      <c r="E8" s="698">
        <v>120.666667</v>
      </c>
      <c r="F8" s="698">
        <v>1104.0388889999999</v>
      </c>
      <c r="G8" s="698">
        <v>19</v>
      </c>
      <c r="H8" s="698">
        <v>55.5</v>
      </c>
      <c r="I8" s="698">
        <v>833.86455643487091</v>
      </c>
      <c r="J8" s="698">
        <v>35</v>
      </c>
      <c r="K8" s="567">
        <v>11.392629142144004</v>
      </c>
      <c r="L8" s="567">
        <v>67.514689081540212</v>
      </c>
      <c r="M8" s="567">
        <v>1.43412626</v>
      </c>
      <c r="N8" s="287">
        <v>5.479129890035999</v>
      </c>
      <c r="O8" s="287">
        <v>58.425192788182656</v>
      </c>
      <c r="P8" s="287">
        <v>2.3173882208399998</v>
      </c>
    </row>
    <row r="9" spans="2:22" s="29" customFormat="1" x14ac:dyDescent="0.3">
      <c r="C9" s="697" t="s">
        <v>35</v>
      </c>
      <c r="D9" s="287" t="s">
        <v>258</v>
      </c>
      <c r="E9" s="698">
        <v>270</v>
      </c>
      <c r="F9" s="698">
        <v>2595</v>
      </c>
      <c r="G9" s="698">
        <v>1148</v>
      </c>
      <c r="H9" s="698">
        <v>1223</v>
      </c>
      <c r="I9" s="698">
        <v>971.74471948978817</v>
      </c>
      <c r="J9" s="698">
        <v>880</v>
      </c>
      <c r="K9" s="567">
        <v>26.665666500000004</v>
      </c>
      <c r="L9" s="567">
        <v>182.79229624999996</v>
      </c>
      <c r="M9" s="567">
        <v>112.96906187999998</v>
      </c>
      <c r="N9" s="287">
        <v>105.1885919939875</v>
      </c>
      <c r="O9" s="287">
        <v>63.545360786875946</v>
      </c>
      <c r="P9" s="287">
        <v>67.554453750000008</v>
      </c>
    </row>
    <row r="10" spans="2:22" s="29" customFormat="1" x14ac:dyDescent="0.3">
      <c r="C10" s="697" t="s">
        <v>36</v>
      </c>
      <c r="D10" s="287" t="s">
        <v>452</v>
      </c>
      <c r="E10" s="698"/>
      <c r="F10" s="698">
        <v>2967</v>
      </c>
      <c r="G10" s="698">
        <v>255</v>
      </c>
      <c r="H10" s="698"/>
      <c r="I10" s="698">
        <v>2268.7562770711338</v>
      </c>
      <c r="J10" s="698">
        <v>80</v>
      </c>
      <c r="K10" s="567"/>
      <c r="L10" s="567">
        <v>208.37759338999999</v>
      </c>
      <c r="M10" s="567">
        <v>22.615767250000001</v>
      </c>
      <c r="N10" s="287"/>
      <c r="O10" s="287">
        <v>168.3255261506597</v>
      </c>
      <c r="P10" s="287">
        <v>6.5791319999999995</v>
      </c>
    </row>
    <row r="11" spans="2:22" s="29" customFormat="1" x14ac:dyDescent="0.3">
      <c r="C11" s="697" t="s">
        <v>37</v>
      </c>
      <c r="D11" s="287" t="s">
        <v>110</v>
      </c>
      <c r="E11" s="698">
        <v>1342</v>
      </c>
      <c r="F11" s="698">
        <v>611</v>
      </c>
      <c r="G11" s="698">
        <v>2336</v>
      </c>
      <c r="H11" s="698">
        <v>1095</v>
      </c>
      <c r="I11" s="698">
        <v>479.40616964458235</v>
      </c>
      <c r="J11" s="698">
        <v>2613</v>
      </c>
      <c r="K11" s="567">
        <v>124.29643193</v>
      </c>
      <c r="L11" s="567">
        <v>36.485769713099998</v>
      </c>
      <c r="M11" s="567">
        <v>177.8918108</v>
      </c>
      <c r="N11" s="287">
        <v>102.21167912422399</v>
      </c>
      <c r="O11" s="287">
        <v>28.760918203823973</v>
      </c>
      <c r="P11" s="287">
        <v>176.71972132500005</v>
      </c>
    </row>
    <row r="12" spans="2:22" s="29" customFormat="1" x14ac:dyDescent="0.3">
      <c r="C12" s="697" t="s">
        <v>173</v>
      </c>
      <c r="D12" s="287" t="s">
        <v>452</v>
      </c>
      <c r="E12" s="698">
        <v>856.91666699999996</v>
      </c>
      <c r="F12" s="698">
        <v>1951</v>
      </c>
      <c r="G12" s="698">
        <v>181</v>
      </c>
      <c r="H12" s="698">
        <v>485</v>
      </c>
      <c r="I12" s="698">
        <v>1472.9807373644239</v>
      </c>
      <c r="J12" s="698">
        <v>36.5</v>
      </c>
      <c r="K12" s="567">
        <v>75.978912701758631</v>
      </c>
      <c r="L12" s="567">
        <v>132.84440409639998</v>
      </c>
      <c r="M12" s="567">
        <v>15.753706910000002</v>
      </c>
      <c r="N12" s="287">
        <v>44.376435494075601</v>
      </c>
      <c r="O12" s="287">
        <v>105.35583869519009</v>
      </c>
      <c r="P12" s="287">
        <v>3.1954109794175505</v>
      </c>
    </row>
    <row r="13" spans="2:22" s="29" customFormat="1" x14ac:dyDescent="0.3">
      <c r="C13" s="697" t="s">
        <v>32</v>
      </c>
      <c r="D13" s="287" t="s">
        <v>107</v>
      </c>
      <c r="E13" s="698">
        <v>7260.3333999999995</v>
      </c>
      <c r="F13" s="698">
        <v>7332</v>
      </c>
      <c r="G13" s="698"/>
      <c r="H13" s="698"/>
      <c r="I13" s="698">
        <v>7523.6595238912369</v>
      </c>
      <c r="J13" s="698"/>
      <c r="K13" s="567">
        <v>647.28193967940001</v>
      </c>
      <c r="L13" s="567">
        <v>427.61150399999985</v>
      </c>
      <c r="M13" s="567"/>
      <c r="N13" s="287"/>
      <c r="O13" s="287">
        <v>400.13907360691337</v>
      </c>
      <c r="P13" s="287"/>
    </row>
    <row r="14" spans="2:22" s="29" customFormat="1" x14ac:dyDescent="0.3">
      <c r="C14" s="697" t="s">
        <v>49</v>
      </c>
      <c r="D14" s="287" t="s">
        <v>108</v>
      </c>
      <c r="E14" s="698">
        <v>9</v>
      </c>
      <c r="F14" s="698">
        <v>5</v>
      </c>
      <c r="G14" s="698">
        <v>1</v>
      </c>
      <c r="H14" s="698"/>
      <c r="I14" s="698"/>
      <c r="J14" s="698"/>
      <c r="K14" s="567">
        <v>0.84570939500000009</v>
      </c>
      <c r="L14" s="567">
        <v>0.31582690000000002</v>
      </c>
      <c r="M14" s="567">
        <v>6.1482750000000003E-2</v>
      </c>
      <c r="N14" s="287"/>
      <c r="O14" s="287"/>
      <c r="P14" s="287"/>
    </row>
    <row r="15" spans="2:22" s="29" customFormat="1" x14ac:dyDescent="0.3">
      <c r="C15" s="697" t="s">
        <v>27</v>
      </c>
      <c r="D15" s="287" t="s">
        <v>111</v>
      </c>
      <c r="E15" s="698">
        <v>33</v>
      </c>
      <c r="F15" s="698">
        <v>18623</v>
      </c>
      <c r="G15" s="698">
        <v>218</v>
      </c>
      <c r="H15" s="698">
        <v>25</v>
      </c>
      <c r="I15" s="698">
        <v>13567</v>
      </c>
      <c r="J15" s="698">
        <v>184</v>
      </c>
      <c r="K15" s="567">
        <v>4.2305151900000002</v>
      </c>
      <c r="L15" s="567">
        <v>1292.9390580148008</v>
      </c>
      <c r="M15" s="567">
        <v>18.99245728</v>
      </c>
      <c r="N15" s="287">
        <v>3.2049356537500002</v>
      </c>
      <c r="O15" s="287">
        <v>984.42445106481694</v>
      </c>
      <c r="P15" s="287">
        <v>15.114102668649601</v>
      </c>
    </row>
    <row r="16" spans="2:22" s="29" customFormat="1" x14ac:dyDescent="0.3">
      <c r="C16" s="697" t="s">
        <v>28</v>
      </c>
      <c r="D16" s="287" t="s">
        <v>106</v>
      </c>
      <c r="E16" s="698">
        <v>103</v>
      </c>
      <c r="F16" s="698">
        <v>2724</v>
      </c>
      <c r="G16" s="698"/>
      <c r="H16" s="698">
        <v>180</v>
      </c>
      <c r="I16" s="698">
        <v>3610</v>
      </c>
      <c r="J16" s="698">
        <v>20</v>
      </c>
      <c r="K16" s="567">
        <v>12.227111163</v>
      </c>
      <c r="L16" s="567">
        <v>159.49970900000002</v>
      </c>
      <c r="M16" s="567"/>
      <c r="N16" s="287">
        <v>21.656033334539998</v>
      </c>
      <c r="O16" s="287">
        <v>201.37895500000002</v>
      </c>
      <c r="P16" s="287">
        <v>1.639321637184</v>
      </c>
    </row>
    <row r="17" spans="3:16" s="29" customFormat="1" x14ac:dyDescent="0.3">
      <c r="C17" s="697" t="s">
        <v>30</v>
      </c>
      <c r="D17" s="287" t="s">
        <v>318</v>
      </c>
      <c r="E17" s="698">
        <v>70</v>
      </c>
      <c r="F17" s="698">
        <v>7382</v>
      </c>
      <c r="G17" s="698">
        <v>100</v>
      </c>
      <c r="H17" s="698">
        <v>38</v>
      </c>
      <c r="I17" s="698">
        <v>8986.7688312134014</v>
      </c>
      <c r="J17" s="698">
        <v>134.5</v>
      </c>
      <c r="K17" s="567">
        <v>8.4706396000000002</v>
      </c>
      <c r="L17" s="567">
        <v>512.2844262835996</v>
      </c>
      <c r="M17" s="567">
        <v>8.5341206500000002</v>
      </c>
      <c r="N17" s="287">
        <v>4.5386303723803998</v>
      </c>
      <c r="O17" s="287">
        <v>633.5121871941983</v>
      </c>
      <c r="P17" s="287">
        <v>11.122789163270399</v>
      </c>
    </row>
    <row r="18" spans="3:16" s="29" customFormat="1" x14ac:dyDescent="0.3">
      <c r="C18" s="697" t="s">
        <v>89</v>
      </c>
      <c r="D18" s="287" t="s">
        <v>283</v>
      </c>
      <c r="E18" s="698"/>
      <c r="F18" s="698">
        <v>450</v>
      </c>
      <c r="G18" s="698"/>
      <c r="H18" s="698"/>
      <c r="I18" s="698">
        <v>175.12554142267848</v>
      </c>
      <c r="J18" s="698"/>
      <c r="K18" s="567"/>
      <c r="L18" s="567">
        <v>26.510803500000002</v>
      </c>
      <c r="M18" s="567"/>
      <c r="N18" s="287"/>
      <c r="O18" s="287">
        <v>10.049076044849855</v>
      </c>
      <c r="P18" s="287"/>
    </row>
    <row r="19" spans="3:16" s="29" customFormat="1" x14ac:dyDescent="0.3">
      <c r="C19" s="697" t="s">
        <v>26</v>
      </c>
      <c r="D19" s="287" t="s">
        <v>227</v>
      </c>
      <c r="E19" s="698">
        <v>238</v>
      </c>
      <c r="F19" s="698">
        <v>4312</v>
      </c>
      <c r="G19" s="698">
        <v>25</v>
      </c>
      <c r="H19" s="698">
        <v>170</v>
      </c>
      <c r="I19" s="698">
        <v>3419</v>
      </c>
      <c r="J19" s="698">
        <v>24</v>
      </c>
      <c r="K19" s="567">
        <v>30.504689060000004</v>
      </c>
      <c r="L19" s="567">
        <v>297.88036609</v>
      </c>
      <c r="M19" s="567">
        <v>2.2540672499999999</v>
      </c>
      <c r="N19" s="287">
        <v>21.793562444096001</v>
      </c>
      <c r="O19" s="287">
        <v>238.90872341751762</v>
      </c>
      <c r="P19" s="287">
        <v>1.9671859646208001</v>
      </c>
    </row>
    <row r="20" spans="3:16" s="29" customFormat="1" x14ac:dyDescent="0.3">
      <c r="C20" s="697" t="s">
        <v>453</v>
      </c>
      <c r="D20" s="287" t="s">
        <v>454</v>
      </c>
      <c r="E20" s="698"/>
      <c r="F20" s="287">
        <v>1</v>
      </c>
      <c r="G20" s="698"/>
      <c r="H20" s="698"/>
      <c r="I20" s="698"/>
      <c r="J20" s="698"/>
      <c r="K20" s="567"/>
      <c r="L20" s="567">
        <v>7.4238999999999999E-2</v>
      </c>
      <c r="M20" s="567"/>
      <c r="N20" s="287"/>
      <c r="O20" s="287"/>
      <c r="P20" s="287"/>
    </row>
    <row r="21" spans="3:16" s="29" customFormat="1" x14ac:dyDescent="0.3">
      <c r="C21" s="697" t="s">
        <v>42</v>
      </c>
      <c r="D21" s="287" t="s">
        <v>110</v>
      </c>
      <c r="E21" s="698">
        <v>1439</v>
      </c>
      <c r="F21" s="698">
        <v>816.94444399999998</v>
      </c>
      <c r="G21" s="698">
        <v>275</v>
      </c>
      <c r="H21" s="698">
        <v>906</v>
      </c>
      <c r="I21" s="698">
        <v>634.34532519680079</v>
      </c>
      <c r="J21" s="698">
        <v>63.5</v>
      </c>
      <c r="K21" s="567">
        <v>124.60115426999999</v>
      </c>
      <c r="L21" s="567">
        <v>50.446805536576811</v>
      </c>
      <c r="M21" s="567">
        <v>25.270357499999999</v>
      </c>
      <c r="N21" s="287">
        <v>74.577393608943396</v>
      </c>
      <c r="O21" s="287">
        <v>41.970525952911878</v>
      </c>
      <c r="P21" s="287">
        <v>6.4424168401827497</v>
      </c>
    </row>
    <row r="22" spans="3:16" s="29" customFormat="1" x14ac:dyDescent="0.3">
      <c r="C22" s="697" t="s">
        <v>34</v>
      </c>
      <c r="D22" s="287" t="s">
        <v>105</v>
      </c>
      <c r="E22" s="698">
        <v>758</v>
      </c>
      <c r="F22" s="698">
        <v>2045.5569439999999</v>
      </c>
      <c r="G22" s="698">
        <v>356</v>
      </c>
      <c r="H22" s="698">
        <v>513</v>
      </c>
      <c r="I22" s="698">
        <v>1814.584850460812</v>
      </c>
      <c r="J22" s="698">
        <v>450</v>
      </c>
      <c r="K22" s="567">
        <v>53.345517593999993</v>
      </c>
      <c r="L22" s="567">
        <v>132.77712079457601</v>
      </c>
      <c r="M22" s="567">
        <v>32.372179308</v>
      </c>
      <c r="N22" s="287">
        <v>33.845570253914602</v>
      </c>
      <c r="O22" s="287">
        <v>117.38083148851311</v>
      </c>
      <c r="P22" s="287">
        <v>37.940904926231994</v>
      </c>
    </row>
    <row r="23" spans="3:16" s="29" customFormat="1" x14ac:dyDescent="0.3">
      <c r="C23" s="697" t="s">
        <v>45</v>
      </c>
      <c r="D23" s="287" t="s">
        <v>99</v>
      </c>
      <c r="E23" s="698">
        <v>594</v>
      </c>
      <c r="F23" s="698">
        <v>2673.9708340000002</v>
      </c>
      <c r="G23" s="698"/>
      <c r="H23" s="698">
        <v>139</v>
      </c>
      <c r="I23" s="698">
        <v>2061.3928583685483</v>
      </c>
      <c r="J23" s="698">
        <v>16.975000000000001</v>
      </c>
      <c r="K23" s="567">
        <v>50.913423589999987</v>
      </c>
      <c r="L23" s="567">
        <v>164.05779873919261</v>
      </c>
      <c r="M23" s="567"/>
      <c r="N23" s="287">
        <v>13.210722847024396</v>
      </c>
      <c r="O23" s="287">
        <v>131.50071024974295</v>
      </c>
      <c r="P23" s="287">
        <v>1.6719507001889997</v>
      </c>
    </row>
    <row r="24" spans="3:16" s="29" customFormat="1" x14ac:dyDescent="0.3">
      <c r="C24" s="697" t="s">
        <v>40</v>
      </c>
      <c r="D24" s="287" t="s">
        <v>256</v>
      </c>
      <c r="E24" s="698"/>
      <c r="F24" s="698">
        <v>431</v>
      </c>
      <c r="G24" s="698"/>
      <c r="H24" s="698"/>
      <c r="I24" s="698">
        <v>540</v>
      </c>
      <c r="J24" s="698"/>
      <c r="K24" s="567"/>
      <c r="L24" s="567">
        <v>31.140358976777534</v>
      </c>
      <c r="M24" s="567"/>
      <c r="N24" s="287"/>
      <c r="O24" s="287">
        <v>39.380292514455995</v>
      </c>
      <c r="P24" s="287"/>
    </row>
    <row r="25" spans="3:16" s="29" customFormat="1" x14ac:dyDescent="0.3">
      <c r="C25" s="697" t="s">
        <v>43</v>
      </c>
      <c r="D25" s="287" t="s">
        <v>274</v>
      </c>
      <c r="E25" s="698"/>
      <c r="F25" s="698">
        <v>657</v>
      </c>
      <c r="G25" s="698">
        <v>0</v>
      </c>
      <c r="H25" s="698"/>
      <c r="I25" s="698">
        <v>549.5</v>
      </c>
      <c r="J25" s="698"/>
      <c r="K25" s="567"/>
      <c r="L25" s="567">
        <v>47.324380924009915</v>
      </c>
      <c r="M25" s="567">
        <v>0</v>
      </c>
      <c r="N25" s="287"/>
      <c r="O25" s="287">
        <v>42.487922727909158</v>
      </c>
      <c r="P25" s="287"/>
    </row>
    <row r="26" spans="3:16" s="29" customFormat="1" x14ac:dyDescent="0.3">
      <c r="C26" s="697" t="s">
        <v>44</v>
      </c>
      <c r="D26" s="287" t="s">
        <v>275</v>
      </c>
      <c r="E26" s="698"/>
      <c r="F26" s="698">
        <v>554</v>
      </c>
      <c r="G26" s="698"/>
      <c r="H26" s="698">
        <v>1</v>
      </c>
      <c r="I26" s="698">
        <v>550</v>
      </c>
      <c r="J26" s="698"/>
      <c r="K26" s="567"/>
      <c r="L26" s="567">
        <v>39.539532637120693</v>
      </c>
      <c r="M26" s="567"/>
      <c r="N26" s="287">
        <v>5.6780982811800003E-2</v>
      </c>
      <c r="O26" s="287">
        <v>42.113723687395911</v>
      </c>
      <c r="P26" s="287"/>
    </row>
    <row r="27" spans="3:16" s="29" customFormat="1" x14ac:dyDescent="0.3">
      <c r="C27" s="697" t="s">
        <v>287</v>
      </c>
      <c r="D27" s="287" t="s">
        <v>288</v>
      </c>
      <c r="E27" s="698">
        <v>1</v>
      </c>
      <c r="F27" s="698">
        <v>1</v>
      </c>
      <c r="G27" s="698"/>
      <c r="H27" s="698"/>
      <c r="I27" s="698"/>
      <c r="J27" s="698"/>
      <c r="K27" s="567">
        <v>0.13934503499600001</v>
      </c>
      <c r="L27" s="567">
        <v>6.6723851799999997E-2</v>
      </c>
      <c r="M27" s="567"/>
      <c r="N27" s="287"/>
      <c r="O27" s="287"/>
      <c r="P27" s="287"/>
    </row>
    <row r="28" spans="3:16" s="29" customFormat="1" x14ac:dyDescent="0.3">
      <c r="C28" s="697" t="s">
        <v>289</v>
      </c>
      <c r="D28" s="287" t="s">
        <v>290</v>
      </c>
      <c r="E28" s="698">
        <v>61.354166666666629</v>
      </c>
      <c r="F28" s="698">
        <v>191.26666666666662</v>
      </c>
      <c r="G28" s="698">
        <v>24.891666666666666</v>
      </c>
      <c r="H28" s="698"/>
      <c r="I28" s="698"/>
      <c r="J28" s="698"/>
      <c r="K28" s="567">
        <v>6.0165664285734</v>
      </c>
      <c r="L28" s="567">
        <v>13.903207773074101</v>
      </c>
      <c r="M28" s="567">
        <v>2.4399915966390999</v>
      </c>
      <c r="N28" s="287"/>
      <c r="O28" s="287"/>
      <c r="P28" s="287"/>
    </row>
    <row r="29" spans="3:16" s="29" customFormat="1" x14ac:dyDescent="0.3">
      <c r="C29" s="699" t="s">
        <v>47</v>
      </c>
      <c r="D29" s="287" t="s">
        <v>291</v>
      </c>
      <c r="E29" s="698"/>
      <c r="F29" s="698">
        <v>428</v>
      </c>
      <c r="G29" s="698"/>
      <c r="H29" s="698"/>
      <c r="I29" s="698">
        <v>350</v>
      </c>
      <c r="J29" s="698"/>
      <c r="K29" s="567"/>
      <c r="L29" s="567">
        <v>31.772855801378622</v>
      </c>
      <c r="M29" s="567"/>
      <c r="N29" s="287"/>
      <c r="O29" s="287">
        <v>26.6148573819519</v>
      </c>
      <c r="P29" s="287"/>
    </row>
    <row r="30" spans="3:16" s="29" customFormat="1" x14ac:dyDescent="0.3">
      <c r="C30" s="697" t="s">
        <v>292</v>
      </c>
      <c r="D30" s="287" t="s">
        <v>293</v>
      </c>
      <c r="E30" s="698"/>
      <c r="F30" s="698">
        <v>388</v>
      </c>
      <c r="G30" s="698">
        <v>1</v>
      </c>
      <c r="H30" s="698"/>
      <c r="I30" s="698">
        <v>350</v>
      </c>
      <c r="J30" s="698"/>
      <c r="K30" s="567"/>
      <c r="L30" s="567">
        <v>28.356222896898409</v>
      </c>
      <c r="M30" s="567">
        <v>0.100180766719</v>
      </c>
      <c r="N30" s="287"/>
      <c r="O30" s="287">
        <v>27.03269329362881</v>
      </c>
      <c r="P30" s="287"/>
    </row>
    <row r="31" spans="3:16" s="29" customFormat="1" x14ac:dyDescent="0.3">
      <c r="C31" s="697" t="s">
        <v>455</v>
      </c>
      <c r="D31" s="287" t="s">
        <v>456</v>
      </c>
      <c r="E31" s="698"/>
      <c r="F31" s="698">
        <v>18</v>
      </c>
      <c r="G31" s="698"/>
      <c r="H31" s="698"/>
      <c r="I31" s="698">
        <v>300</v>
      </c>
      <c r="J31" s="698"/>
      <c r="K31" s="567"/>
      <c r="L31" s="567">
        <v>1.3802478548125003</v>
      </c>
      <c r="M31" s="567"/>
      <c r="N31" s="287"/>
      <c r="O31" s="287">
        <v>23.792666173170002</v>
      </c>
      <c r="P31" s="287"/>
    </row>
    <row r="32" spans="3:16" s="29" customFormat="1" x14ac:dyDescent="0.3">
      <c r="C32" s="559"/>
      <c r="D32" s="523"/>
      <c r="E32" s="560"/>
      <c r="F32" s="560"/>
      <c r="G32" s="560"/>
      <c r="H32" s="560"/>
      <c r="I32" s="560"/>
      <c r="J32" s="560"/>
      <c r="K32" s="561"/>
      <c r="L32" s="561"/>
      <c r="M32" s="561"/>
      <c r="N32" s="523"/>
      <c r="O32" s="523"/>
      <c r="P32" s="523"/>
    </row>
    <row r="33" spans="2:16" s="29" customFormat="1" x14ac:dyDescent="0.3">
      <c r="C33" s="559"/>
      <c r="D33" s="523"/>
      <c r="E33" s="560"/>
      <c r="F33" s="560"/>
      <c r="G33" s="560"/>
      <c r="H33" s="560"/>
      <c r="I33" s="560"/>
      <c r="J33" s="560"/>
      <c r="K33" s="560"/>
      <c r="L33" s="560"/>
      <c r="M33" s="560"/>
      <c r="N33" s="560"/>
      <c r="O33" s="560"/>
      <c r="P33" s="560"/>
    </row>
    <row r="34" spans="2:16" s="29" customFormat="1" x14ac:dyDescent="0.3">
      <c r="C34" s="559"/>
      <c r="D34" s="523"/>
      <c r="E34" s="560"/>
      <c r="F34" s="560"/>
      <c r="G34" s="560"/>
      <c r="H34" s="560"/>
      <c r="I34" s="560"/>
      <c r="J34" s="560"/>
      <c r="K34" s="561"/>
      <c r="L34" s="561"/>
      <c r="M34" s="561"/>
      <c r="N34" s="523"/>
      <c r="O34" s="523"/>
      <c r="P34" s="523"/>
    </row>
    <row r="35" spans="2:16" ht="18.75" customHeight="1" x14ac:dyDescent="0.3">
      <c r="B35" s="31"/>
      <c r="C35" s="559"/>
      <c r="D35" s="562"/>
      <c r="E35" s="563"/>
      <c r="F35" s="563"/>
      <c r="G35" s="563"/>
      <c r="H35" s="563"/>
      <c r="I35" s="563"/>
      <c r="J35" s="563"/>
      <c r="K35" s="564"/>
      <c r="L35" s="564"/>
      <c r="M35" s="564"/>
      <c r="N35" s="562"/>
      <c r="O35" s="562"/>
      <c r="P35" s="523"/>
    </row>
    <row r="36" spans="2:16" x14ac:dyDescent="0.3">
      <c r="B36" s="32"/>
      <c r="C36" s="565"/>
      <c r="D36" s="523"/>
      <c r="E36" s="523"/>
      <c r="F36" s="523"/>
      <c r="G36" s="523"/>
      <c r="H36" s="523"/>
      <c r="I36" s="523"/>
      <c r="J36" s="523"/>
      <c r="K36" s="523"/>
      <c r="L36" s="523"/>
      <c r="M36" s="523"/>
      <c r="N36" s="523"/>
      <c r="O36" s="523"/>
      <c r="P36" s="523"/>
    </row>
    <row r="37" spans="2:16" x14ac:dyDescent="0.3">
      <c r="B37" s="4"/>
      <c r="C37" s="566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</row>
    <row r="38" spans="2:16" x14ac:dyDescent="0.3">
      <c r="B38" s="4"/>
      <c r="C38" s="566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</row>
    <row r="39" spans="2:16" x14ac:dyDescent="0.3">
      <c r="B39" s="4"/>
      <c r="C39" s="566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</row>
    <row r="40" spans="2:16" x14ac:dyDescent="0.3">
      <c r="C40" s="566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</row>
    <row r="41" spans="2:16" x14ac:dyDescent="0.3">
      <c r="C41" s="566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</row>
    <row r="42" spans="2:16" x14ac:dyDescent="0.3">
      <c r="C42" s="567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</row>
    <row r="43" spans="2:16" x14ac:dyDescent="0.3">
      <c r="C43" s="566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</row>
    <row r="44" spans="2:16" x14ac:dyDescent="0.3">
      <c r="C44" s="566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</row>
    <row r="45" spans="2:16" x14ac:dyDescent="0.3">
      <c r="C45" s="566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</row>
    <row r="46" spans="2:16" x14ac:dyDescent="0.3">
      <c r="C46" s="566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</row>
    <row r="47" spans="2:16" x14ac:dyDescent="0.3">
      <c r="C47" s="566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</row>
    <row r="48" spans="2:16" x14ac:dyDescent="0.3">
      <c r="C48" s="566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</row>
    <row r="49" spans="3:16" x14ac:dyDescent="0.3">
      <c r="C49" s="566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</row>
    <row r="50" spans="3:16" x14ac:dyDescent="0.3">
      <c r="C50" s="566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</row>
    <row r="51" spans="3:16" x14ac:dyDescent="0.3">
      <c r="C51" s="566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</row>
    <row r="52" spans="3:16" x14ac:dyDescent="0.3">
      <c r="C52" s="566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</row>
    <row r="53" spans="3:16" x14ac:dyDescent="0.3">
      <c r="C53" s="566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</row>
    <row r="54" spans="3:16" x14ac:dyDescent="0.3">
      <c r="C54" s="566"/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</row>
    <row r="55" spans="3:16" x14ac:dyDescent="0.3">
      <c r="C55" s="566"/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</row>
    <row r="56" spans="3:16" x14ac:dyDescent="0.3">
      <c r="C56" s="566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</row>
    <row r="57" spans="3:16" x14ac:dyDescent="0.3"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</row>
    <row r="58" spans="3:16" x14ac:dyDescent="0.3"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</row>
    <row r="59" spans="3:16" x14ac:dyDescent="0.3"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</row>
    <row r="60" spans="3:16" x14ac:dyDescent="0.3"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</row>
    <row r="61" spans="3:16" x14ac:dyDescent="0.3"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811A-83C7-4978-A86E-F2F1AC194A72}">
  <sheetPr codeName="Hoja10">
    <tabColor rgb="FF00B050"/>
  </sheetPr>
  <dimension ref="B1:AB22"/>
  <sheetViews>
    <sheetView showGridLines="0" zoomScale="90" zoomScaleNormal="90" workbookViewId="0">
      <selection activeCell="S14" sqref="S14"/>
    </sheetView>
  </sheetViews>
  <sheetFormatPr baseColWidth="10" defaultRowHeight="14.4" x14ac:dyDescent="0.3"/>
  <cols>
    <col min="1" max="1" width="2.109375" customWidth="1"/>
    <col min="2" max="2" width="8.44140625" hidden="1" customWidth="1"/>
    <col min="3" max="3" width="19" hidden="1" customWidth="1"/>
    <col min="4" max="4" width="11.88671875" hidden="1" customWidth="1"/>
    <col min="5" max="5" width="9.88671875" hidden="1" customWidth="1"/>
    <col min="6" max="7" width="14.5546875" hidden="1" customWidth="1"/>
    <col min="8" max="8" width="14" hidden="1" customWidth="1"/>
    <col min="9" max="9" width="4.6640625" hidden="1" customWidth="1"/>
    <col min="10" max="10" width="24" hidden="1" customWidth="1"/>
    <col min="11" max="11" width="2.33203125" customWidth="1"/>
    <col min="12" max="12" width="11.5546875" customWidth="1"/>
    <col min="13" max="13" width="9.88671875" customWidth="1"/>
    <col min="14" max="14" width="9" customWidth="1"/>
    <col min="15" max="15" width="9.5546875" customWidth="1"/>
    <col min="16" max="16" width="14.88671875" customWidth="1"/>
    <col min="17" max="18" width="15" customWidth="1"/>
    <col min="19" max="19" width="14.109375" customWidth="1"/>
    <col min="20" max="20" width="13.21875" customWidth="1"/>
    <col min="21" max="21" width="9.5546875" customWidth="1"/>
    <col min="22" max="22" width="7.21875" customWidth="1"/>
    <col min="23" max="23" width="5.88671875" customWidth="1"/>
    <col min="24" max="24" width="11.44140625" hidden="1" customWidth="1"/>
    <col min="25" max="25" width="9.77734375" customWidth="1"/>
    <col min="26" max="26" width="7.44140625" customWidth="1"/>
    <col min="27" max="27" width="9" customWidth="1"/>
  </cols>
  <sheetData>
    <row r="1" spans="2:27" ht="9" customHeight="1" thickBot="1" x14ac:dyDescent="0.35"/>
    <row r="2" spans="2:27" s="1" customFormat="1" ht="45" customHeight="1" thickBot="1" x14ac:dyDescent="0.35">
      <c r="B2" s="294" t="s">
        <v>205</v>
      </c>
      <c r="C2" s="295" t="s">
        <v>206</v>
      </c>
      <c r="D2" s="295" t="s">
        <v>207</v>
      </c>
      <c r="E2" s="295" t="s">
        <v>208</v>
      </c>
      <c r="F2" s="295" t="s">
        <v>209</v>
      </c>
      <c r="G2" s="296" t="s">
        <v>210</v>
      </c>
      <c r="H2" s="424" t="s">
        <v>202</v>
      </c>
      <c r="J2" s="301" t="s">
        <v>223</v>
      </c>
      <c r="L2" s="496" t="s">
        <v>244</v>
      </c>
      <c r="M2" s="987" t="s">
        <v>238</v>
      </c>
      <c r="N2" s="987"/>
      <c r="O2" s="522" t="s">
        <v>241</v>
      </c>
      <c r="P2" s="522" t="s">
        <v>245</v>
      </c>
      <c r="Q2" s="522" t="s">
        <v>239</v>
      </c>
      <c r="R2" s="522" t="s">
        <v>240</v>
      </c>
      <c r="S2" s="522" t="s">
        <v>246</v>
      </c>
      <c r="T2" s="522" t="s">
        <v>248</v>
      </c>
      <c r="U2" s="502" t="s">
        <v>247</v>
      </c>
      <c r="V2" s="495"/>
      <c r="X2" s="29">
        <v>388.57267931111181</v>
      </c>
    </row>
    <row r="3" spans="2:27" s="29" customFormat="1" x14ac:dyDescent="0.3">
      <c r="B3" s="994" t="s">
        <v>233</v>
      </c>
      <c r="C3" s="996" t="s">
        <v>234</v>
      </c>
      <c r="D3" s="319" t="s">
        <v>211</v>
      </c>
      <c r="E3" s="316">
        <v>0.26869999999999999</v>
      </c>
      <c r="F3" s="323">
        <v>246000000</v>
      </c>
      <c r="G3" s="422">
        <f>E3*F3</f>
        <v>66100200</v>
      </c>
      <c r="H3" s="431">
        <v>14893424.441423632</v>
      </c>
      <c r="J3" s="29" t="s">
        <v>217</v>
      </c>
      <c r="L3" s="991" t="s">
        <v>233</v>
      </c>
      <c r="M3" s="595" t="s">
        <v>243</v>
      </c>
      <c r="N3" s="596">
        <v>1.9E-2</v>
      </c>
      <c r="O3" s="597">
        <v>0</v>
      </c>
      <c r="P3" s="988">
        <f>'TABLA DE LIQUIDACION JV'!M7*1000000</f>
        <v>2608923732.9343948</v>
      </c>
      <c r="Q3" s="598">
        <v>0</v>
      </c>
      <c r="R3" s="599">
        <v>0</v>
      </c>
      <c r="S3" s="789">
        <v>44556854.437173493</v>
      </c>
      <c r="T3" s="788">
        <v>1.5789867605970936E-2</v>
      </c>
      <c r="U3" s="788">
        <f>'TABLA DE LIQUIDACION JV'!O7</f>
        <v>1.100383558232803</v>
      </c>
      <c r="V3" s="523"/>
    </row>
    <row r="4" spans="2:27" s="29" customFormat="1" x14ac:dyDescent="0.3">
      <c r="B4" s="995"/>
      <c r="C4" s="997"/>
      <c r="D4" s="319" t="s">
        <v>212</v>
      </c>
      <c r="E4" s="316"/>
      <c r="F4" s="421"/>
      <c r="G4" s="422">
        <v>0</v>
      </c>
      <c r="H4" s="423"/>
      <c r="K4" s="287"/>
      <c r="L4" s="992"/>
      <c r="M4" s="493">
        <f>N3+0.1%</f>
        <v>0.02</v>
      </c>
      <c r="N4" s="492">
        <v>0.03</v>
      </c>
      <c r="O4" s="503">
        <v>0.3</v>
      </c>
      <c r="P4" s="989"/>
      <c r="Q4" s="494">
        <f>M4*P3</f>
        <v>52178474.658687897</v>
      </c>
      <c r="R4" s="510">
        <f>N4*P3</f>
        <v>78267711.988031849</v>
      </c>
      <c r="S4"/>
      <c r="T4"/>
      <c r="V4" s="491"/>
    </row>
    <row r="5" spans="2:27" s="29" customFormat="1" x14ac:dyDescent="0.3">
      <c r="B5" s="995"/>
      <c r="C5" s="998" t="s">
        <v>235</v>
      </c>
      <c r="D5" s="319" t="s">
        <v>211</v>
      </c>
      <c r="E5" s="316">
        <v>0.25459999999999999</v>
      </c>
      <c r="F5" s="323">
        <v>308000000</v>
      </c>
      <c r="G5" s="422">
        <f>F5*E5</f>
        <v>78416800</v>
      </c>
      <c r="H5" s="431">
        <v>45122176.007987432</v>
      </c>
      <c r="L5" s="992"/>
      <c r="M5" s="489">
        <f>N4+0.1%</f>
        <v>3.1E-2</v>
      </c>
      <c r="N5" s="490">
        <f>M5+2.9%</f>
        <v>0.06</v>
      </c>
      <c r="O5" s="504">
        <v>0.6</v>
      </c>
      <c r="P5" s="989"/>
      <c r="Q5" s="494">
        <f>M5*P3</f>
        <v>80876635.720966235</v>
      </c>
      <c r="R5" s="510">
        <f>N5*P3</f>
        <v>156535423.9760637</v>
      </c>
      <c r="T5" s="540"/>
      <c r="U5" s="507"/>
      <c r="V5" s="491"/>
    </row>
    <row r="6" spans="2:27" s="29" customFormat="1" ht="15" thickBot="1" x14ac:dyDescent="0.35">
      <c r="B6" s="994"/>
      <c r="C6" s="999"/>
      <c r="D6" s="319" t="s">
        <v>212</v>
      </c>
      <c r="E6" s="316"/>
      <c r="F6" s="320"/>
      <c r="G6" s="321"/>
      <c r="H6" s="314"/>
      <c r="J6" s="29" t="s">
        <v>217</v>
      </c>
      <c r="K6" s="287"/>
      <c r="L6" s="993"/>
      <c r="M6" s="497" t="s">
        <v>242</v>
      </c>
      <c r="N6" s="498">
        <f>N5+0.1%</f>
        <v>6.0999999999999999E-2</v>
      </c>
      <c r="O6" s="509">
        <v>1</v>
      </c>
      <c r="P6" s="990"/>
      <c r="Q6" s="499">
        <f>N6*P3</f>
        <v>159144347.70899808</v>
      </c>
      <c r="R6" s="511"/>
      <c r="V6" s="491"/>
    </row>
    <row r="7" spans="2:27" ht="15" thickBot="1" x14ac:dyDescent="0.35">
      <c r="B7" s="1003" t="s">
        <v>232</v>
      </c>
      <c r="C7" s="1004"/>
      <c r="D7" s="1004"/>
      <c r="E7" s="1004"/>
      <c r="F7" s="1004"/>
      <c r="G7" s="291">
        <f>+SUM(G3:G6)</f>
        <v>144517000</v>
      </c>
      <c r="H7" s="293">
        <f>+SUM(H3:H6)</f>
        <v>60015600.449411064</v>
      </c>
      <c r="I7" s="290">
        <f>H7/G7</f>
        <v>0.41528401813911903</v>
      </c>
      <c r="L7" s="29"/>
      <c r="S7" s="505"/>
      <c r="T7" s="541"/>
      <c r="U7" s="508"/>
    </row>
    <row r="8" spans="2:27" s="29" customFormat="1" x14ac:dyDescent="0.3">
      <c r="B8" s="1005" t="s">
        <v>213</v>
      </c>
      <c r="C8" s="999" t="s">
        <v>214</v>
      </c>
      <c r="D8" s="319" t="s">
        <v>211</v>
      </c>
      <c r="E8" s="316">
        <v>8.4199999999999997E-2</v>
      </c>
      <c r="F8" s="323">
        <v>319000000</v>
      </c>
      <c r="G8" s="321">
        <f>E8*F8</f>
        <v>26859800</v>
      </c>
      <c r="H8" s="324">
        <v>29261292.445100196</v>
      </c>
      <c r="J8" s="29" t="s">
        <v>224</v>
      </c>
      <c r="K8" s="287"/>
      <c r="L8" s="1010" t="s">
        <v>450</v>
      </c>
      <c r="M8" s="532" t="s">
        <v>243</v>
      </c>
      <c r="N8" s="533">
        <v>5.0000000000000001E-3</v>
      </c>
      <c r="O8" s="534">
        <v>0</v>
      </c>
      <c r="P8" s="988">
        <f>('TABLA DE LIQUIDACION DC'!K7-'TABLA DE LIQUIDACION JV'!M7)*1000000</f>
        <v>1146428851.9256988</v>
      </c>
      <c r="Q8" s="535">
        <v>0</v>
      </c>
      <c r="R8" s="536">
        <v>0</v>
      </c>
      <c r="S8" s="531">
        <v>-47349954.668734185</v>
      </c>
      <c r="T8" s="612">
        <v>-3.5163259494511698E-2</v>
      </c>
      <c r="U8" s="546">
        <v>1.1525042678333999</v>
      </c>
      <c r="V8" s="491"/>
    </row>
    <row r="9" spans="2:27" s="29" customFormat="1" x14ac:dyDescent="0.3">
      <c r="B9" s="1005"/>
      <c r="C9" s="1006"/>
      <c r="D9" s="319" t="s">
        <v>212</v>
      </c>
      <c r="E9" s="316"/>
      <c r="F9" s="320"/>
      <c r="G9" s="321">
        <v>0</v>
      </c>
      <c r="H9" s="432"/>
      <c r="L9" s="1011"/>
      <c r="M9" s="493">
        <f>N8+0.1%</f>
        <v>6.0000000000000001E-3</v>
      </c>
      <c r="N9" s="492">
        <v>0.03</v>
      </c>
      <c r="O9" s="503">
        <v>0.3</v>
      </c>
      <c r="P9" s="989"/>
      <c r="Q9" s="494">
        <f>M9*P8</f>
        <v>6878573.1115541924</v>
      </c>
      <c r="R9" s="510">
        <f>N9*P8</f>
        <v>34392865.55777096</v>
      </c>
      <c r="S9"/>
      <c r="T9"/>
      <c r="U9"/>
      <c r="V9" s="491"/>
    </row>
    <row r="10" spans="2:27" s="29" customFormat="1" x14ac:dyDescent="0.3">
      <c r="B10" s="1005"/>
      <c r="C10" s="998" t="s">
        <v>215</v>
      </c>
      <c r="D10" s="319" t="s">
        <v>211</v>
      </c>
      <c r="E10" s="316">
        <v>0.2402</v>
      </c>
      <c r="F10" s="323">
        <v>351000000</v>
      </c>
      <c r="G10" s="321">
        <f>F10*E10</f>
        <v>84310200</v>
      </c>
      <c r="H10" s="302">
        <v>30135584.622960672</v>
      </c>
      <c r="J10" s="29" t="s">
        <v>219</v>
      </c>
      <c r="L10" s="1011"/>
      <c r="M10" s="489">
        <f>N9+0.1%</f>
        <v>3.1E-2</v>
      </c>
      <c r="N10" s="490">
        <f>M10+3.9%</f>
        <v>7.0000000000000007E-2</v>
      </c>
      <c r="O10" s="504">
        <v>0.6</v>
      </c>
      <c r="P10" s="989"/>
      <c r="Q10" s="494">
        <f>M10*P8</f>
        <v>35539294.409696661</v>
      </c>
      <c r="R10" s="510">
        <f>N10*P8</f>
        <v>80250019.634798914</v>
      </c>
      <c r="S10" s="523"/>
      <c r="T10" s="525"/>
      <c r="U10" s="507"/>
      <c r="V10" s="491"/>
    </row>
    <row r="11" spans="2:27" s="29" customFormat="1" ht="15" thickBot="1" x14ac:dyDescent="0.35">
      <c r="B11" s="1005"/>
      <c r="C11" s="999"/>
      <c r="D11" s="319" t="s">
        <v>212</v>
      </c>
      <c r="E11" s="316"/>
      <c r="F11" s="320"/>
      <c r="G11" s="321">
        <v>0</v>
      </c>
      <c r="H11" s="315"/>
      <c r="L11" s="1012"/>
      <c r="M11" s="497" t="s">
        <v>242</v>
      </c>
      <c r="N11" s="498">
        <f>N10+0.1%</f>
        <v>7.1000000000000008E-2</v>
      </c>
      <c r="O11" s="509">
        <v>1</v>
      </c>
      <c r="P11" s="990"/>
      <c r="Q11" s="499">
        <f>N11*P8</f>
        <v>81396448.486724615</v>
      </c>
      <c r="R11" s="511"/>
      <c r="T11" s="540"/>
      <c r="U11" s="507"/>
      <c r="V11" s="491"/>
    </row>
    <row r="12" spans="2:27" s="29" customFormat="1" ht="15" thickBot="1" x14ac:dyDescent="0.35">
      <c r="B12" s="1005"/>
      <c r="C12" s="999"/>
      <c r="D12" s="319" t="s">
        <v>216</v>
      </c>
      <c r="E12" s="316">
        <v>8.8300000000000003E-2</v>
      </c>
      <c r="F12" s="323">
        <v>111000000</v>
      </c>
      <c r="G12" s="321">
        <f>F12*E12</f>
        <v>9801300</v>
      </c>
      <c r="H12" s="303">
        <v>8060560.0580353336</v>
      </c>
      <c r="J12" s="29" t="s">
        <v>218</v>
      </c>
      <c r="S12" s="506"/>
      <c r="T12" s="542"/>
      <c r="U12" s="322"/>
    </row>
    <row r="13" spans="2:27" ht="15" thickBot="1" x14ac:dyDescent="0.35">
      <c r="L13" s="29"/>
      <c r="T13" s="543"/>
    </row>
    <row r="14" spans="2:27" x14ac:dyDescent="0.3">
      <c r="L14" s="1007" t="s">
        <v>260</v>
      </c>
      <c r="M14" s="516"/>
      <c r="N14" s="516"/>
      <c r="O14" s="528">
        <v>0</v>
      </c>
      <c r="P14" s="529"/>
      <c r="Q14" s="529"/>
      <c r="R14" s="530"/>
      <c r="S14" s="524">
        <f>S3+S8</f>
        <v>-2793100.2315606922</v>
      </c>
      <c r="T14" s="612">
        <v>-6.7005913782812313E-4</v>
      </c>
      <c r="U14" s="546">
        <v>1.1099992058308212</v>
      </c>
      <c r="Y14" s="526"/>
    </row>
    <row r="15" spans="2:27" x14ac:dyDescent="0.3">
      <c r="L15" s="1008"/>
      <c r="M15" s="15"/>
      <c r="N15" s="15"/>
      <c r="O15" s="518">
        <v>0.3</v>
      </c>
      <c r="P15" s="40" t="s">
        <v>249</v>
      </c>
      <c r="Q15" s="526">
        <f>Q4+Q9</f>
        <v>59057047.770242088</v>
      </c>
      <c r="R15" s="527">
        <f t="shared" ref="Q15:R17" si="0">R4+R9</f>
        <v>112660577.5458028</v>
      </c>
      <c r="Y15" s="1000" t="s">
        <v>190</v>
      </c>
      <c r="Z15" s="1001"/>
      <c r="AA15" s="1002"/>
    </row>
    <row r="16" spans="2:27" x14ac:dyDescent="0.3">
      <c r="L16" s="1008"/>
      <c r="M16" s="15"/>
      <c r="N16" s="15"/>
      <c r="O16" s="518">
        <v>0.6</v>
      </c>
      <c r="P16" s="15" t="s">
        <v>250</v>
      </c>
      <c r="Q16" s="512">
        <f t="shared" si="0"/>
        <v>116415930.13066289</v>
      </c>
      <c r="R16" s="513">
        <f t="shared" si="0"/>
        <v>236785443.61086261</v>
      </c>
      <c r="T16" s="543"/>
      <c r="Y16" s="544" t="s">
        <v>253</v>
      </c>
      <c r="Z16" s="544" t="s">
        <v>254</v>
      </c>
      <c r="AA16" s="544" t="s">
        <v>255</v>
      </c>
    </row>
    <row r="17" spans="12:28" ht="15" thickBot="1" x14ac:dyDescent="0.35">
      <c r="L17" s="1009"/>
      <c r="M17" s="517"/>
      <c r="N17" s="517"/>
      <c r="O17" s="519">
        <v>1</v>
      </c>
      <c r="P17" s="517" t="s">
        <v>251</v>
      </c>
      <c r="Q17" s="515">
        <f t="shared" si="0"/>
        <v>240540796.1957227</v>
      </c>
      <c r="R17" s="514">
        <f t="shared" si="0"/>
        <v>0</v>
      </c>
      <c r="T17" s="543"/>
      <c r="Y17" s="545">
        <v>60.999214797297626</v>
      </c>
      <c r="Z17" s="545">
        <f>S14/1000000</f>
        <v>-2.7931002315606923</v>
      </c>
      <c r="AA17" s="546">
        <f>Z17/Y17</f>
        <v>-4.5789117791798721E-2</v>
      </c>
      <c r="AB17" s="790"/>
    </row>
    <row r="18" spans="12:28" x14ac:dyDescent="0.3">
      <c r="Q18" s="512"/>
      <c r="T18" s="543"/>
      <c r="AB18" s="790"/>
    </row>
    <row r="19" spans="12:28" x14ac:dyDescent="0.3">
      <c r="AB19" s="790"/>
    </row>
    <row r="20" spans="12:28" x14ac:dyDescent="0.3">
      <c r="S20" s="673"/>
      <c r="AB20" s="790"/>
    </row>
    <row r="22" spans="12:28" x14ac:dyDescent="0.3">
      <c r="Q22" s="673"/>
    </row>
  </sheetData>
  <mergeCells count="14">
    <mergeCell ref="Y15:AA15"/>
    <mergeCell ref="B7:F7"/>
    <mergeCell ref="B8:B12"/>
    <mergeCell ref="C8:C9"/>
    <mergeCell ref="C10:C12"/>
    <mergeCell ref="L14:L17"/>
    <mergeCell ref="L8:L11"/>
    <mergeCell ref="P8:P11"/>
    <mergeCell ref="M2:N2"/>
    <mergeCell ref="P3:P6"/>
    <mergeCell ref="L3:L6"/>
    <mergeCell ref="B3:B6"/>
    <mergeCell ref="C3:C4"/>
    <mergeCell ref="C5:C6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D836-99BA-4C5E-A34E-26DCE4D05C31}">
  <sheetPr codeName="Hoja9">
    <tabColor rgb="FF00B050"/>
  </sheetPr>
  <dimension ref="A1:X34"/>
  <sheetViews>
    <sheetView showGridLines="0" zoomScale="70" zoomScaleNormal="70" zoomScaleSheetLayoutView="100" workbookViewId="0">
      <selection activeCell="H29" sqref="H29"/>
    </sheetView>
  </sheetViews>
  <sheetFormatPr baseColWidth="10" defaultRowHeight="14.4" x14ac:dyDescent="0.3"/>
  <cols>
    <col min="1" max="1" width="7" customWidth="1"/>
    <col min="2" max="2" width="7.109375" style="41" customWidth="1"/>
    <col min="3" max="3" width="38.44140625" style="29" customWidth="1"/>
    <col min="4" max="4" width="3.44140625" style="29" customWidth="1"/>
    <col min="5" max="5" width="18.6640625" style="29" customWidth="1"/>
    <col min="6" max="6" width="9.88671875" style="29" customWidth="1"/>
    <col min="7" max="7" width="4.33203125" style="29" customWidth="1"/>
    <col min="8" max="8" width="19.77734375" style="29" customWidth="1"/>
    <col min="9" max="9" width="11.109375" style="29" customWidth="1"/>
    <col min="10" max="10" width="12.5546875" style="29" customWidth="1"/>
    <col min="11" max="11" width="3.109375" style="29" customWidth="1"/>
    <col min="12" max="12" width="5.6640625" customWidth="1"/>
    <col min="13" max="13" width="25" customWidth="1"/>
    <col min="14" max="14" width="17.44140625" customWidth="1"/>
    <col min="15" max="15" width="17.5546875" customWidth="1"/>
    <col min="16" max="16" width="9.109375" customWidth="1"/>
    <col min="17" max="17" width="5.33203125" customWidth="1"/>
    <col min="18" max="18" width="18" customWidth="1"/>
    <col min="21" max="21" width="19.5546875" customWidth="1"/>
    <col min="24" max="24" width="15.88671875" customWidth="1"/>
  </cols>
  <sheetData>
    <row r="1" spans="1:24" ht="15.6" x14ac:dyDescent="0.3">
      <c r="C1" s="1013" t="s">
        <v>231</v>
      </c>
      <c r="D1" s="1013"/>
      <c r="E1" s="1013"/>
      <c r="F1" s="1013"/>
      <c r="G1" s="1013"/>
      <c r="H1" s="1013"/>
      <c r="I1" s="1013"/>
      <c r="J1" s="1013"/>
    </row>
    <row r="2" spans="1:24" ht="4.5" customHeight="1" x14ac:dyDescent="0.3"/>
    <row r="3" spans="1:24" x14ac:dyDescent="0.3">
      <c r="C3" s="35"/>
      <c r="D3" s="35"/>
      <c r="E3" s="35"/>
      <c r="F3" s="35"/>
      <c r="G3" s="35"/>
      <c r="H3" s="35"/>
      <c r="I3" s="35"/>
      <c r="J3" s="36"/>
    </row>
    <row r="4" spans="1:24" ht="15" thickBot="1" x14ac:dyDescent="0.35">
      <c r="A4" s="29"/>
      <c r="B4" s="197"/>
      <c r="C4" s="538" t="s">
        <v>97</v>
      </c>
      <c r="D4" s="538" t="s">
        <v>77</v>
      </c>
      <c r="E4" s="538" t="s">
        <v>145</v>
      </c>
      <c r="F4" s="538" t="s">
        <v>69</v>
      </c>
      <c r="G4" s="539" t="s">
        <v>70</v>
      </c>
      <c r="H4" s="35" t="s">
        <v>112</v>
      </c>
      <c r="I4" s="35"/>
      <c r="J4" s="35" t="s">
        <v>93</v>
      </c>
      <c r="L4" s="29"/>
    </row>
    <row r="5" spans="1:24" x14ac:dyDescent="0.3">
      <c r="A5" s="196" t="str">
        <f>TRIM(B5)</f>
        <v>1302</v>
      </c>
      <c r="B5" s="115" t="s">
        <v>41</v>
      </c>
      <c r="C5" s="146" t="s">
        <v>225</v>
      </c>
      <c r="D5" s="139"/>
      <c r="E5" s="148">
        <v>81697962</v>
      </c>
      <c r="F5" s="139"/>
      <c r="G5" s="147"/>
      <c r="H5" s="617">
        <v>97832233</v>
      </c>
      <c r="I5" s="139"/>
      <c r="J5" s="306">
        <f>IFERROR(H5/E5,0)</f>
        <v>1.1974868234779223</v>
      </c>
      <c r="L5" s="29"/>
      <c r="M5" s="195"/>
      <c r="N5" s="195"/>
      <c r="X5" s="195"/>
    </row>
    <row r="6" spans="1:24" x14ac:dyDescent="0.3">
      <c r="A6" s="196" t="str">
        <f>TRIM(B6)</f>
        <v>1501</v>
      </c>
      <c r="B6" s="115" t="s">
        <v>32</v>
      </c>
      <c r="C6" s="146" t="s">
        <v>115</v>
      </c>
      <c r="D6" s="139"/>
      <c r="E6" s="148">
        <v>981784134</v>
      </c>
      <c r="F6" s="139"/>
      <c r="G6" s="147"/>
      <c r="H6" s="617">
        <v>727894349</v>
      </c>
      <c r="I6" s="139"/>
      <c r="J6" s="306">
        <f t="shared" ref="J6:J24" si="0">IFERROR(H6/E6,0)</f>
        <v>0.74139958448340537</v>
      </c>
      <c r="L6" s="29"/>
      <c r="M6" s="195"/>
      <c r="N6" s="195"/>
      <c r="X6" s="195"/>
    </row>
    <row r="7" spans="1:24" x14ac:dyDescent="0.3">
      <c r="A7" s="196" t="str">
        <f>TRIM(B7)</f>
        <v>2102</v>
      </c>
      <c r="B7" s="115" t="s">
        <v>27</v>
      </c>
      <c r="C7" s="146" t="s">
        <v>122</v>
      </c>
      <c r="D7" s="139"/>
      <c r="E7" s="148">
        <v>212950998</v>
      </c>
      <c r="F7" s="139"/>
      <c r="G7" s="147"/>
      <c r="H7" s="617">
        <v>1460069513</v>
      </c>
      <c r="I7" s="139"/>
      <c r="J7" s="306">
        <f t="shared" si="0"/>
        <v>6.8563637959564767</v>
      </c>
      <c r="L7" s="29"/>
      <c r="M7" s="195"/>
      <c r="N7" s="195"/>
      <c r="X7" s="195"/>
    </row>
    <row r="8" spans="1:24" x14ac:dyDescent="0.3">
      <c r="A8" s="196" t="str">
        <f>TRIM(B8)</f>
        <v>2301</v>
      </c>
      <c r="B8" s="197" t="s">
        <v>89</v>
      </c>
      <c r="C8" s="146" t="s">
        <v>110</v>
      </c>
      <c r="D8" s="139"/>
      <c r="E8" s="148">
        <v>0</v>
      </c>
      <c r="F8" s="139"/>
      <c r="G8" s="147"/>
      <c r="H8" s="617">
        <v>0</v>
      </c>
      <c r="I8" s="139"/>
      <c r="J8" s="306">
        <f t="shared" si="0"/>
        <v>0</v>
      </c>
      <c r="L8" s="29"/>
      <c r="M8" s="195"/>
      <c r="N8" s="195"/>
      <c r="X8" s="195"/>
    </row>
    <row r="9" spans="1:24" x14ac:dyDescent="0.3">
      <c r="A9" s="196" t="str">
        <f>TRIM(B9)</f>
        <v>1307</v>
      </c>
      <c r="B9" s="115">
        <v>1307</v>
      </c>
      <c r="C9" s="146" t="s">
        <v>116</v>
      </c>
      <c r="D9" s="139"/>
      <c r="E9" s="148">
        <v>0</v>
      </c>
      <c r="F9" s="139"/>
      <c r="G9" s="147"/>
      <c r="H9" s="617">
        <v>0</v>
      </c>
      <c r="I9" s="139"/>
      <c r="J9" s="306">
        <f t="shared" si="0"/>
        <v>0</v>
      </c>
      <c r="L9" s="29"/>
      <c r="M9" s="195"/>
      <c r="N9" s="195"/>
      <c r="X9" s="195"/>
    </row>
    <row r="10" spans="1:24" x14ac:dyDescent="0.3">
      <c r="A10" s="196" t="str">
        <f t="shared" ref="A10:A19" si="1">TRIM(B10)</f>
        <v>1403</v>
      </c>
      <c r="B10" s="197" t="s">
        <v>36</v>
      </c>
      <c r="C10" s="146" t="s">
        <v>204</v>
      </c>
      <c r="D10" s="139"/>
      <c r="E10" s="148">
        <v>41377356</v>
      </c>
      <c r="F10" s="139"/>
      <c r="G10" s="147"/>
      <c r="H10" s="617">
        <v>254887780</v>
      </c>
      <c r="I10" s="139"/>
      <c r="J10" s="306">
        <f t="shared" si="0"/>
        <v>6.1600789571958154</v>
      </c>
      <c r="L10" s="29"/>
      <c r="M10" s="195"/>
      <c r="N10" s="195"/>
      <c r="X10" s="195"/>
    </row>
    <row r="11" spans="1:24" x14ac:dyDescent="0.3">
      <c r="A11" s="196" t="str">
        <f t="shared" si="1"/>
        <v>1405</v>
      </c>
      <c r="B11" s="197">
        <v>1405</v>
      </c>
      <c r="C11" s="146" t="s">
        <v>203</v>
      </c>
      <c r="D11" s="139"/>
      <c r="E11" s="148">
        <v>329002303</v>
      </c>
      <c r="F11" s="139"/>
      <c r="G11" s="147"/>
      <c r="H11" s="617">
        <v>300383796</v>
      </c>
      <c r="I11" s="139"/>
      <c r="J11" s="306">
        <f t="shared" si="0"/>
        <v>0.91301426543509634</v>
      </c>
      <c r="L11" s="29"/>
      <c r="M11" s="195"/>
      <c r="N11" s="195"/>
      <c r="X11" s="195"/>
    </row>
    <row r="12" spans="1:24" x14ac:dyDescent="0.3">
      <c r="A12" s="196" t="str">
        <f t="shared" si="1"/>
        <v>2104</v>
      </c>
      <c r="B12" s="197" t="s">
        <v>30</v>
      </c>
      <c r="C12" s="146" t="s">
        <v>150</v>
      </c>
      <c r="D12" s="139"/>
      <c r="E12" s="148">
        <v>329805005</v>
      </c>
      <c r="F12" s="139"/>
      <c r="G12" s="147"/>
      <c r="H12" s="617">
        <v>628143181</v>
      </c>
      <c r="I12" s="139"/>
      <c r="J12" s="306">
        <f t="shared" si="0"/>
        <v>1.9045895952973788</v>
      </c>
      <c r="L12" s="29"/>
      <c r="M12" s="195"/>
      <c r="N12" s="195"/>
      <c r="X12" s="195"/>
    </row>
    <row r="13" spans="1:24" x14ac:dyDescent="0.3">
      <c r="A13" s="196" t="str">
        <f t="shared" si="1"/>
        <v>1303</v>
      </c>
      <c r="B13" s="115" t="s">
        <v>42</v>
      </c>
      <c r="C13" s="146" t="s">
        <v>229</v>
      </c>
      <c r="D13" s="139"/>
      <c r="E13" s="148">
        <v>32549635</v>
      </c>
      <c r="F13" s="139"/>
      <c r="G13" s="147"/>
      <c r="H13" s="617">
        <v>122110421</v>
      </c>
      <c r="I13" s="139"/>
      <c r="J13" s="306">
        <f t="shared" si="0"/>
        <v>3.7515142950143678</v>
      </c>
      <c r="L13" s="29"/>
      <c r="M13" s="195"/>
      <c r="N13" s="195"/>
      <c r="X13" s="195"/>
    </row>
    <row r="14" spans="1:24" x14ac:dyDescent="0.3">
      <c r="A14" s="196" t="str">
        <f t="shared" si="1"/>
        <v>2203</v>
      </c>
      <c r="B14" s="197" t="s">
        <v>284</v>
      </c>
      <c r="C14" s="146" t="s">
        <v>117</v>
      </c>
      <c r="D14" s="139"/>
      <c r="E14" s="148">
        <v>619905278</v>
      </c>
      <c r="F14" s="139"/>
      <c r="G14" s="147"/>
      <c r="H14" s="617">
        <v>2561487084</v>
      </c>
      <c r="I14" s="139"/>
      <c r="J14" s="306">
        <f t="shared" si="0"/>
        <v>4.1320620664242833</v>
      </c>
      <c r="L14" s="29"/>
      <c r="M14" s="195"/>
      <c r="N14" s="195"/>
      <c r="X14" s="195"/>
    </row>
    <row r="15" spans="1:24" x14ac:dyDescent="0.3">
      <c r="A15" s="196" t="str">
        <f t="shared" si="1"/>
        <v>1401</v>
      </c>
      <c r="B15" s="197" t="s">
        <v>34</v>
      </c>
      <c r="C15" s="146" t="s">
        <v>118</v>
      </c>
      <c r="D15" s="139"/>
      <c r="E15" s="148">
        <v>143570737</v>
      </c>
      <c r="F15" s="139"/>
      <c r="G15" s="147"/>
      <c r="H15" s="617">
        <v>217077924</v>
      </c>
      <c r="I15" s="139"/>
      <c r="J15" s="306">
        <f t="shared" si="0"/>
        <v>1.5119928234400579</v>
      </c>
      <c r="L15" s="29"/>
      <c r="M15" s="195"/>
      <c r="N15" s="195"/>
      <c r="X15" s="195"/>
    </row>
    <row r="16" spans="1:24" x14ac:dyDescent="0.3">
      <c r="A16" s="196" t="str">
        <f t="shared" si="1"/>
        <v>2101</v>
      </c>
      <c r="B16" s="197" t="s">
        <v>26</v>
      </c>
      <c r="C16" s="146" t="s">
        <v>236</v>
      </c>
      <c r="D16" s="139"/>
      <c r="E16" s="148">
        <v>244255282</v>
      </c>
      <c r="F16" s="139"/>
      <c r="G16" s="147"/>
      <c r="H16" s="617">
        <v>413172621</v>
      </c>
      <c r="I16" s="139"/>
      <c r="J16" s="306">
        <f t="shared" si="0"/>
        <v>1.6915606394133167</v>
      </c>
      <c r="L16" s="29"/>
      <c r="M16" s="195"/>
      <c r="N16" s="195"/>
      <c r="X16" s="195"/>
    </row>
    <row r="17" spans="1:24" x14ac:dyDescent="0.3">
      <c r="A17" s="196" t="str">
        <f t="shared" si="1"/>
        <v>2103</v>
      </c>
      <c r="B17" s="115" t="s">
        <v>28</v>
      </c>
      <c r="C17" s="146" t="s">
        <v>119</v>
      </c>
      <c r="D17" s="139"/>
      <c r="E17" s="148">
        <v>493056118</v>
      </c>
      <c r="F17" s="139"/>
      <c r="G17" s="147"/>
      <c r="H17" s="617">
        <v>547084008</v>
      </c>
      <c r="I17" s="139"/>
      <c r="J17" s="306">
        <f t="shared" si="0"/>
        <v>1.1095775673956854</v>
      </c>
      <c r="L17" s="29"/>
      <c r="M17" s="195"/>
      <c r="N17" s="195"/>
      <c r="X17" s="195"/>
    </row>
    <row r="18" spans="1:24" x14ac:dyDescent="0.3">
      <c r="A18" s="196" t="str">
        <f t="shared" si="1"/>
        <v>1306</v>
      </c>
      <c r="B18" s="197" t="s">
        <v>45</v>
      </c>
      <c r="C18" s="29" t="s">
        <v>120</v>
      </c>
      <c r="D18" s="139"/>
      <c r="E18" s="148">
        <v>180508780</v>
      </c>
      <c r="F18" s="139"/>
      <c r="G18" s="147"/>
      <c r="H18" s="617">
        <v>129640264</v>
      </c>
      <c r="I18" s="139"/>
      <c r="J18" s="306">
        <f t="shared" si="0"/>
        <v>0.71819367456807359</v>
      </c>
      <c r="L18" s="29"/>
      <c r="M18" s="195"/>
      <c r="N18" s="195"/>
      <c r="X18" s="195"/>
    </row>
    <row r="19" spans="1:24" x14ac:dyDescent="0.3">
      <c r="A19" s="196" t="str">
        <f t="shared" si="1"/>
        <v>1101</v>
      </c>
      <c r="B19" s="197" t="s">
        <v>57</v>
      </c>
      <c r="C19" s="29" t="s">
        <v>110</v>
      </c>
      <c r="E19" s="148">
        <v>2225008</v>
      </c>
      <c r="F19" s="139"/>
      <c r="H19" s="618">
        <v>2225008</v>
      </c>
      <c r="I19" s="139"/>
      <c r="J19" s="306">
        <f t="shared" si="0"/>
        <v>1</v>
      </c>
      <c r="L19" s="29"/>
      <c r="M19" s="195"/>
      <c r="N19" s="195"/>
      <c r="X19" s="195"/>
    </row>
    <row r="20" spans="1:24" x14ac:dyDescent="0.3">
      <c r="A20" s="196" t="str">
        <f>TRIM(B20)</f>
        <v>1202</v>
      </c>
      <c r="B20" s="197" t="s">
        <v>54</v>
      </c>
      <c r="C20" s="146" t="s">
        <v>121</v>
      </c>
      <c r="D20" s="139"/>
      <c r="E20" s="148">
        <v>45407252</v>
      </c>
      <c r="F20" s="139"/>
      <c r="G20" s="147"/>
      <c r="H20" s="617">
        <v>259947369</v>
      </c>
      <c r="I20" s="139"/>
      <c r="J20" s="306">
        <f t="shared" si="0"/>
        <v>5.7247985189678516</v>
      </c>
      <c r="L20" s="29"/>
      <c r="M20" s="195"/>
      <c r="N20" s="195"/>
      <c r="X20" s="195"/>
    </row>
    <row r="21" spans="1:24" x14ac:dyDescent="0.3">
      <c r="A21" s="196" t="str">
        <f>TRIM(B21)</f>
        <v>1102</v>
      </c>
      <c r="B21" s="115" t="s">
        <v>58</v>
      </c>
      <c r="C21" s="146" t="s">
        <v>319</v>
      </c>
      <c r="D21" s="139"/>
      <c r="E21" s="148">
        <v>0</v>
      </c>
      <c r="F21" s="139"/>
      <c r="G21" s="147"/>
      <c r="H21" s="617">
        <v>0</v>
      </c>
      <c r="I21" s="139"/>
      <c r="J21" s="306">
        <f t="shared" si="0"/>
        <v>0</v>
      </c>
      <c r="L21" s="29"/>
      <c r="M21" s="195"/>
      <c r="N21" s="195"/>
      <c r="X21" s="195"/>
    </row>
    <row r="22" spans="1:24" x14ac:dyDescent="0.3">
      <c r="A22" s="196" t="str">
        <f>TRIM(B22)</f>
        <v>1402</v>
      </c>
      <c r="B22" s="197" t="s">
        <v>35</v>
      </c>
      <c r="C22" s="146" t="s">
        <v>320</v>
      </c>
      <c r="D22" s="139"/>
      <c r="E22" s="148">
        <v>171317036</v>
      </c>
      <c r="F22" s="139"/>
      <c r="G22" s="147"/>
      <c r="H22" s="617">
        <v>242111018</v>
      </c>
      <c r="I22" s="139"/>
      <c r="J22" s="306">
        <f t="shared" si="0"/>
        <v>1.4132337545228135</v>
      </c>
      <c r="L22" s="29"/>
      <c r="M22" s="195"/>
      <c r="N22" s="195"/>
      <c r="X22" s="195"/>
    </row>
    <row r="23" spans="1:24" x14ac:dyDescent="0.3">
      <c r="A23" s="196" t="str">
        <f>TRIM(B23)</f>
        <v>1404</v>
      </c>
      <c r="B23" s="197" t="s">
        <v>37</v>
      </c>
      <c r="C23" s="146" t="s">
        <v>180</v>
      </c>
      <c r="D23" s="139"/>
      <c r="E23" s="148">
        <v>214672285</v>
      </c>
      <c r="F23" s="139"/>
      <c r="G23" s="147"/>
      <c r="H23" s="617">
        <v>362629552</v>
      </c>
      <c r="I23" s="139"/>
      <c r="J23" s="306">
        <f t="shared" si="0"/>
        <v>1.6892238884027344</v>
      </c>
      <c r="L23" s="29"/>
      <c r="M23" s="195"/>
      <c r="N23" s="195"/>
      <c r="X23" s="195"/>
    </row>
    <row r="24" spans="1:24" x14ac:dyDescent="0.3">
      <c r="A24" s="196" t="str">
        <f>TRIM(B24)</f>
        <v>1308</v>
      </c>
      <c r="B24" s="115">
        <v>1308</v>
      </c>
      <c r="C24" s="146" t="s">
        <v>179</v>
      </c>
      <c r="D24" s="139"/>
      <c r="E24" s="148">
        <v>0</v>
      </c>
      <c r="F24" s="139"/>
      <c r="G24" s="147"/>
      <c r="H24" s="617">
        <v>0</v>
      </c>
      <c r="I24" s="139"/>
      <c r="J24" s="306">
        <f t="shared" si="0"/>
        <v>0</v>
      </c>
      <c r="L24" s="29"/>
      <c r="M24" s="195"/>
      <c r="N24" s="195"/>
      <c r="X24" s="195"/>
    </row>
    <row r="25" spans="1:24" x14ac:dyDescent="0.3">
      <c r="A25" s="29"/>
      <c r="B25" s="197"/>
      <c r="F25" s="139"/>
      <c r="G25" s="147"/>
      <c r="I25" s="139"/>
      <c r="J25" s="306"/>
      <c r="L25" s="29"/>
      <c r="X25" s="195"/>
    </row>
    <row r="26" spans="1:24" x14ac:dyDescent="0.3">
      <c r="A26" s="196" t="str">
        <f>TRIM(B26)</f>
        <v/>
      </c>
      <c r="B26" s="197"/>
      <c r="E26" s="141"/>
      <c r="F26" s="139"/>
      <c r="G26" s="147"/>
      <c r="I26" s="139"/>
      <c r="J26" s="306"/>
      <c r="L26" s="29"/>
      <c r="X26" s="195"/>
    </row>
    <row r="27" spans="1:24" x14ac:dyDescent="0.3">
      <c r="A27" s="196" t="str">
        <f>TRIM(B27)</f>
        <v>1406</v>
      </c>
      <c r="B27" s="115" t="s">
        <v>285</v>
      </c>
      <c r="C27" s="29" t="s">
        <v>230</v>
      </c>
      <c r="D27" s="140"/>
      <c r="E27" s="148"/>
      <c r="F27" s="139"/>
      <c r="G27" s="147"/>
      <c r="H27" s="140"/>
      <c r="I27" s="139"/>
      <c r="J27" s="306" t="e">
        <f>H27/E27</f>
        <v>#DIV/0!</v>
      </c>
      <c r="L27" s="29"/>
    </row>
    <row r="28" spans="1:24" x14ac:dyDescent="0.3">
      <c r="A28" s="196"/>
      <c r="B28" s="197"/>
      <c r="C28" s="146" t="s">
        <v>69</v>
      </c>
      <c r="D28" s="139">
        <f>SUM(D5:D27)</f>
        <v>0</v>
      </c>
      <c r="E28" s="139">
        <f>SUM(E5:E27)</f>
        <v>4124085169</v>
      </c>
      <c r="F28" s="139"/>
      <c r="G28" s="147"/>
      <c r="H28" s="149">
        <f>SUM(H5:H27)</f>
        <v>8326696121</v>
      </c>
      <c r="I28" s="149"/>
      <c r="J28" s="521">
        <f>+H28/E28</f>
        <v>2.0190407762648221</v>
      </c>
      <c r="L28" s="29"/>
    </row>
    <row r="29" spans="1:24" x14ac:dyDescent="0.3">
      <c r="A29" s="29"/>
      <c r="B29" s="197"/>
      <c r="C29" s="29" t="s">
        <v>159</v>
      </c>
      <c r="E29" s="32">
        <f>E28-E14</f>
        <v>3504179891</v>
      </c>
      <c r="F29" s="139"/>
      <c r="G29" s="147"/>
      <c r="H29" s="32">
        <f>H28-H14</f>
        <v>5765209037</v>
      </c>
      <c r="I29" s="32"/>
      <c r="J29" s="306">
        <f>H29/E29</f>
        <v>1.6452377492968153</v>
      </c>
      <c r="L29" s="29"/>
    </row>
    <row r="30" spans="1:24" x14ac:dyDescent="0.3">
      <c r="A30" s="29"/>
      <c r="B30" s="197"/>
      <c r="F30" s="139"/>
      <c r="L30" s="29"/>
    </row>
    <row r="31" spans="1:24" x14ac:dyDescent="0.3">
      <c r="A31" s="196"/>
      <c r="B31" s="197"/>
      <c r="D31" s="537"/>
      <c r="E31" s="33"/>
      <c r="F31" s="139"/>
      <c r="G31" s="34"/>
      <c r="H31" s="34"/>
      <c r="I31" s="34"/>
      <c r="J31" s="38"/>
      <c r="L31" s="29"/>
    </row>
    <row r="32" spans="1:24" x14ac:dyDescent="0.3">
      <c r="A32" s="196"/>
      <c r="B32" s="115"/>
      <c r="D32" s="537"/>
      <c r="E32" s="33"/>
      <c r="F32" s="139"/>
      <c r="G32" s="34"/>
      <c r="H32" s="34"/>
      <c r="I32" s="34"/>
      <c r="J32" s="38"/>
      <c r="L32" s="29"/>
    </row>
    <row r="33" spans="2:10" x14ac:dyDescent="0.3">
      <c r="B33" s="114"/>
      <c r="G33" s="34"/>
      <c r="H33" s="34"/>
      <c r="I33" s="34"/>
      <c r="J33" s="39"/>
    </row>
    <row r="34" spans="2:10" x14ac:dyDescent="0.3">
      <c r="C34" s="28"/>
      <c r="G34" s="37"/>
    </row>
  </sheetData>
  <mergeCells count="1">
    <mergeCell ref="C1:J1"/>
  </mergeCells>
  <pageMargins left="0.7" right="0.7" top="0.75" bottom="0.75" header="0.3" footer="0.3"/>
  <pageSetup scale="67" orientation="portrait" r:id="rId1"/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641D-E93F-4B66-A4E6-4D5ECB1C990D}">
  <sheetPr codeName="Hoja7">
    <tabColor rgb="FF00B050"/>
  </sheetPr>
  <dimension ref="A1:AF557"/>
  <sheetViews>
    <sheetView zoomScale="70" zoomScaleNormal="70" workbookViewId="0"/>
  </sheetViews>
  <sheetFormatPr baseColWidth="10" defaultRowHeight="14.4" x14ac:dyDescent="0.3"/>
  <cols>
    <col min="1" max="1" width="18" bestFit="1" customWidth="1"/>
    <col min="2" max="3" width="11.88671875" customWidth="1"/>
    <col min="4" max="4" width="11.88671875" style="568" customWidth="1"/>
    <col min="5" max="8" width="10.88671875" style="568" customWidth="1"/>
    <col min="9" max="9" width="6.21875" customWidth="1"/>
    <col min="10" max="10" width="16.21875" customWidth="1"/>
    <col min="11" max="11" width="33.44140625" customWidth="1"/>
    <col min="12" max="12" width="11.6640625" customWidth="1"/>
    <col min="13" max="13" width="3.5546875" customWidth="1"/>
    <col min="14" max="14" width="15.6640625" customWidth="1"/>
    <col min="15" max="15" width="32.88671875" bestFit="1" customWidth="1"/>
    <col min="16" max="16" width="15.77734375" customWidth="1"/>
    <col min="17" max="17" width="4.33203125" customWidth="1"/>
    <col min="18" max="18" width="12.5546875" customWidth="1"/>
    <col min="19" max="19" width="39.109375" customWidth="1"/>
    <col min="21" max="21" width="4.77734375" customWidth="1"/>
    <col min="25" max="25" width="4.5546875" customWidth="1"/>
    <col min="29" max="29" width="3.88671875" customWidth="1"/>
    <col min="31" max="31" width="23.33203125" customWidth="1"/>
  </cols>
  <sheetData>
    <row r="1" spans="1:32" x14ac:dyDescent="0.3">
      <c r="D1"/>
      <c r="E1"/>
      <c r="F1"/>
      <c r="G1"/>
      <c r="H1"/>
    </row>
    <row r="2" spans="1:32" x14ac:dyDescent="0.3">
      <c r="D2"/>
      <c r="E2"/>
      <c r="F2"/>
      <c r="G2"/>
      <c r="H2"/>
    </row>
    <row r="3" spans="1:32" x14ac:dyDescent="0.3">
      <c r="B3" s="795">
        <f t="shared" ref="B3:G3" si="0">AVERAGEIF(B7:B557,"&gt;-100",B7:B557)</f>
        <v>3.9907407407407409</v>
      </c>
      <c r="C3" s="795">
        <f t="shared" si="0"/>
        <v>2</v>
      </c>
      <c r="D3" s="795">
        <f t="shared" si="0"/>
        <v>6.274193548387097</v>
      </c>
      <c r="E3" s="795">
        <f t="shared" si="0"/>
        <v>3.2671755725190841</v>
      </c>
      <c r="F3" s="795">
        <f t="shared" si="0"/>
        <v>4.1654135338345863</v>
      </c>
      <c r="G3" s="795">
        <f t="shared" si="0"/>
        <v>5.9189189189189193</v>
      </c>
      <c r="H3"/>
    </row>
    <row r="4" spans="1:32" x14ac:dyDescent="0.3">
      <c r="B4" s="600">
        <f t="shared" ref="B4:G4" si="1">AVERAGE(B7:B557)</f>
        <v>3.9907407407407409</v>
      </c>
      <c r="C4" s="600">
        <f t="shared" si="1"/>
        <v>2</v>
      </c>
      <c r="D4" s="600">
        <f t="shared" si="1"/>
        <v>6.274193548387097</v>
      </c>
      <c r="E4" s="600">
        <f t="shared" si="1"/>
        <v>3.2671755725190841</v>
      </c>
      <c r="F4" s="600">
        <f t="shared" si="1"/>
        <v>4.1654135338345863</v>
      </c>
      <c r="G4" s="600">
        <f t="shared" si="1"/>
        <v>5.9189189189189193</v>
      </c>
      <c r="H4"/>
    </row>
    <row r="5" spans="1:32" x14ac:dyDescent="0.3">
      <c r="D5"/>
      <c r="E5"/>
      <c r="F5"/>
      <c r="G5"/>
      <c r="H5"/>
      <c r="K5" s="569"/>
      <c r="L5" t="s">
        <v>273</v>
      </c>
      <c r="O5" s="569"/>
      <c r="P5" t="s">
        <v>273</v>
      </c>
      <c r="S5" s="569"/>
      <c r="T5" t="s">
        <v>273</v>
      </c>
      <c r="W5" s="569"/>
      <c r="X5" t="s">
        <v>273</v>
      </c>
      <c r="AA5" s="569"/>
      <c r="AB5" t="s">
        <v>273</v>
      </c>
      <c r="AE5" s="569"/>
      <c r="AF5" t="s">
        <v>273</v>
      </c>
    </row>
    <row r="6" spans="1:32" x14ac:dyDescent="0.3">
      <c r="A6" t="s">
        <v>640</v>
      </c>
      <c r="B6" t="s">
        <v>256</v>
      </c>
      <c r="C6" t="s">
        <v>456</v>
      </c>
      <c r="D6" t="s">
        <v>293</v>
      </c>
      <c r="E6" t="s">
        <v>291</v>
      </c>
      <c r="F6" t="s">
        <v>275</v>
      </c>
      <c r="G6" t="s">
        <v>274</v>
      </c>
      <c r="H6"/>
      <c r="J6" s="569" t="s">
        <v>268</v>
      </c>
      <c r="K6" s="585" t="s">
        <v>269</v>
      </c>
      <c r="L6" s="586">
        <v>19</v>
      </c>
      <c r="N6" s="569" t="s">
        <v>268</v>
      </c>
      <c r="O6" s="585" t="s">
        <v>275</v>
      </c>
      <c r="P6" s="586">
        <v>15</v>
      </c>
      <c r="R6" s="569" t="s">
        <v>268</v>
      </c>
      <c r="S6" s="585" t="s">
        <v>274</v>
      </c>
      <c r="T6" s="586">
        <v>14</v>
      </c>
      <c r="V6" s="569" t="s">
        <v>268</v>
      </c>
      <c r="W6" s="585" t="s">
        <v>303</v>
      </c>
      <c r="X6" s="586">
        <v>16</v>
      </c>
      <c r="Z6" s="569" t="s">
        <v>268</v>
      </c>
      <c r="AA6" s="585" t="s">
        <v>304</v>
      </c>
      <c r="AB6" s="586">
        <v>18</v>
      </c>
      <c r="AD6" s="569" t="s">
        <v>268</v>
      </c>
      <c r="AE6" s="585" t="s">
        <v>552</v>
      </c>
      <c r="AF6" s="586">
        <v>9</v>
      </c>
    </row>
    <row r="7" spans="1:32" x14ac:dyDescent="0.3">
      <c r="A7" t="s">
        <v>641</v>
      </c>
      <c r="B7">
        <v>2</v>
      </c>
      <c r="D7"/>
      <c r="E7"/>
      <c r="F7"/>
      <c r="G7"/>
      <c r="H7"/>
      <c r="J7" s="569" t="s">
        <v>270</v>
      </c>
      <c r="K7" s="569" t="s">
        <v>271</v>
      </c>
      <c r="L7" s="569" t="s">
        <v>272</v>
      </c>
      <c r="N7" s="569" t="s">
        <v>270</v>
      </c>
      <c r="O7" s="569" t="s">
        <v>271</v>
      </c>
      <c r="P7" s="569" t="s">
        <v>272</v>
      </c>
      <c r="R7" s="569" t="s">
        <v>270</v>
      </c>
      <c r="S7" s="569" t="s">
        <v>271</v>
      </c>
      <c r="T7" s="569" t="s">
        <v>272</v>
      </c>
      <c r="V7" s="569" t="s">
        <v>270</v>
      </c>
      <c r="W7" s="569" t="s">
        <v>271</v>
      </c>
      <c r="X7" s="569" t="s">
        <v>272</v>
      </c>
      <c r="Z7" s="569" t="s">
        <v>270</v>
      </c>
      <c r="AA7" s="569" t="s">
        <v>271</v>
      </c>
      <c r="AB7" s="569" t="s">
        <v>272</v>
      </c>
      <c r="AD7" s="569" t="s">
        <v>270</v>
      </c>
      <c r="AE7" s="569" t="s">
        <v>271</v>
      </c>
      <c r="AF7" s="569" t="s">
        <v>272</v>
      </c>
    </row>
    <row r="8" spans="1:32" x14ac:dyDescent="0.3">
      <c r="A8" t="s">
        <v>642</v>
      </c>
      <c r="B8">
        <v>20</v>
      </c>
      <c r="D8"/>
      <c r="E8"/>
      <c r="F8"/>
      <c r="G8"/>
      <c r="H8"/>
      <c r="J8" s="569" t="s">
        <v>457</v>
      </c>
      <c r="K8" s="569" t="s">
        <v>458</v>
      </c>
      <c r="L8" s="570">
        <v>44530</v>
      </c>
      <c r="N8" t="s">
        <v>494</v>
      </c>
      <c r="O8" t="s">
        <v>495</v>
      </c>
      <c r="P8" s="588">
        <v>44530</v>
      </c>
      <c r="R8" t="s">
        <v>524</v>
      </c>
      <c r="S8" t="s">
        <v>525</v>
      </c>
      <c r="T8" s="587">
        <v>44529</v>
      </c>
      <c r="V8" t="s">
        <v>571</v>
      </c>
      <c r="W8" t="s">
        <v>572</v>
      </c>
      <c r="X8" s="587">
        <v>44518</v>
      </c>
      <c r="Z8" t="s">
        <v>603</v>
      </c>
      <c r="AA8" t="s">
        <v>604</v>
      </c>
      <c r="AB8" s="587">
        <v>44508</v>
      </c>
      <c r="AD8" t="s">
        <v>553</v>
      </c>
      <c r="AE8" t="s">
        <v>554</v>
      </c>
      <c r="AF8" s="587">
        <v>44529</v>
      </c>
    </row>
    <row r="9" spans="1:32" x14ac:dyDescent="0.3">
      <c r="A9" t="s">
        <v>643</v>
      </c>
      <c r="B9">
        <v>6</v>
      </c>
      <c r="D9"/>
      <c r="E9"/>
      <c r="F9"/>
      <c r="G9"/>
      <c r="H9"/>
      <c r="J9" s="569" t="s">
        <v>459</v>
      </c>
      <c r="K9" s="569" t="s">
        <v>460</v>
      </c>
      <c r="L9" s="570">
        <v>44523</v>
      </c>
      <c r="N9" t="s">
        <v>496</v>
      </c>
      <c r="O9" t="s">
        <v>497</v>
      </c>
      <c r="P9" s="588">
        <v>44523</v>
      </c>
      <c r="R9" t="s">
        <v>526</v>
      </c>
      <c r="S9" t="s">
        <v>527</v>
      </c>
      <c r="T9" s="587">
        <v>44518</v>
      </c>
      <c r="V9" t="s">
        <v>573</v>
      </c>
      <c r="W9" t="s">
        <v>574</v>
      </c>
      <c r="X9" s="587">
        <v>44509</v>
      </c>
      <c r="Z9" t="s">
        <v>605</v>
      </c>
      <c r="AA9" t="s">
        <v>606</v>
      </c>
      <c r="AB9" s="587">
        <v>44509</v>
      </c>
      <c r="AD9" t="s">
        <v>555</v>
      </c>
      <c r="AE9" t="s">
        <v>556</v>
      </c>
      <c r="AF9" s="587">
        <v>44529</v>
      </c>
    </row>
    <row r="10" spans="1:32" x14ac:dyDescent="0.3">
      <c r="A10" t="s">
        <v>644</v>
      </c>
      <c r="D10">
        <v>60</v>
      </c>
      <c r="E10"/>
      <c r="F10"/>
      <c r="G10"/>
      <c r="H10"/>
      <c r="J10" s="569" t="s">
        <v>461</v>
      </c>
      <c r="K10" s="569" t="s">
        <v>462</v>
      </c>
      <c r="L10" s="570">
        <v>44530</v>
      </c>
      <c r="N10" t="s">
        <v>498</v>
      </c>
      <c r="O10" t="s">
        <v>499</v>
      </c>
      <c r="P10" s="588">
        <v>44509</v>
      </c>
      <c r="R10" t="s">
        <v>528</v>
      </c>
      <c r="S10" t="s">
        <v>529</v>
      </c>
      <c r="T10" s="587">
        <v>44519</v>
      </c>
      <c r="V10" t="s">
        <v>575</v>
      </c>
      <c r="W10" t="s">
        <v>576</v>
      </c>
      <c r="X10" s="587">
        <v>44524</v>
      </c>
      <c r="Z10" t="s">
        <v>607</v>
      </c>
      <c r="AA10" t="s">
        <v>606</v>
      </c>
      <c r="AB10" s="587">
        <v>44509</v>
      </c>
      <c r="AD10" t="s">
        <v>557</v>
      </c>
      <c r="AE10" t="s">
        <v>558</v>
      </c>
      <c r="AF10" s="587">
        <v>44529</v>
      </c>
    </row>
    <row r="11" spans="1:32" x14ac:dyDescent="0.3">
      <c r="A11" t="s">
        <v>645</v>
      </c>
      <c r="D11"/>
      <c r="E11"/>
      <c r="F11"/>
      <c r="G11">
        <v>30</v>
      </c>
      <c r="H11"/>
      <c r="J11" s="569" t="s">
        <v>463</v>
      </c>
      <c r="K11" s="569" t="s">
        <v>464</v>
      </c>
      <c r="L11" s="570">
        <v>44522</v>
      </c>
      <c r="N11" t="s">
        <v>500</v>
      </c>
      <c r="O11" t="s">
        <v>501</v>
      </c>
      <c r="P11" s="588">
        <v>44529</v>
      </c>
      <c r="R11" t="s">
        <v>530</v>
      </c>
      <c r="S11" t="s">
        <v>531</v>
      </c>
      <c r="T11" s="587">
        <v>44530</v>
      </c>
      <c r="V11" t="s">
        <v>577</v>
      </c>
      <c r="W11" t="s">
        <v>578</v>
      </c>
      <c r="X11" s="587">
        <v>44530</v>
      </c>
      <c r="Z11" t="s">
        <v>608</v>
      </c>
      <c r="AA11" t="s">
        <v>609</v>
      </c>
      <c r="AB11" s="587">
        <v>44513</v>
      </c>
      <c r="AD11" t="s">
        <v>559</v>
      </c>
      <c r="AE11" t="s">
        <v>560</v>
      </c>
      <c r="AF11" s="587">
        <v>44529</v>
      </c>
    </row>
    <row r="12" spans="1:32" x14ac:dyDescent="0.3">
      <c r="A12" t="s">
        <v>646</v>
      </c>
      <c r="D12"/>
      <c r="E12"/>
      <c r="F12"/>
      <c r="G12">
        <v>2</v>
      </c>
      <c r="H12"/>
      <c r="J12" s="569" t="s">
        <v>465</v>
      </c>
      <c r="K12" s="569" t="s">
        <v>466</v>
      </c>
      <c r="L12" s="570">
        <v>44525</v>
      </c>
      <c r="N12" t="s">
        <v>502</v>
      </c>
      <c r="O12" t="s">
        <v>503</v>
      </c>
      <c r="P12" s="588">
        <v>44517</v>
      </c>
      <c r="R12" t="s">
        <v>532</v>
      </c>
      <c r="S12" t="s">
        <v>533</v>
      </c>
      <c r="T12" s="587">
        <v>44523</v>
      </c>
      <c r="V12" t="s">
        <v>579</v>
      </c>
      <c r="W12" t="s">
        <v>580</v>
      </c>
      <c r="X12" s="587">
        <v>44502</v>
      </c>
      <c r="Z12" t="s">
        <v>610</v>
      </c>
      <c r="AA12" t="s">
        <v>611</v>
      </c>
      <c r="AB12" s="587">
        <v>44529</v>
      </c>
      <c r="AD12" t="s">
        <v>561</v>
      </c>
      <c r="AE12" t="s">
        <v>562</v>
      </c>
      <c r="AF12" s="587">
        <v>44529</v>
      </c>
    </row>
    <row r="13" spans="1:32" x14ac:dyDescent="0.3">
      <c r="A13" t="s">
        <v>647</v>
      </c>
      <c r="D13"/>
      <c r="E13"/>
      <c r="F13"/>
      <c r="G13">
        <v>20</v>
      </c>
      <c r="H13"/>
      <c r="J13" s="569" t="s">
        <v>467</v>
      </c>
      <c r="K13" s="569" t="s">
        <v>468</v>
      </c>
      <c r="L13" s="570">
        <v>44517</v>
      </c>
      <c r="N13" t="s">
        <v>504</v>
      </c>
      <c r="O13" t="s">
        <v>505</v>
      </c>
      <c r="P13" s="588">
        <v>44529</v>
      </c>
      <c r="R13" t="s">
        <v>534</v>
      </c>
      <c r="S13" t="s">
        <v>535</v>
      </c>
      <c r="T13" s="587">
        <v>44518</v>
      </c>
      <c r="V13" t="s">
        <v>581</v>
      </c>
      <c r="W13" t="s">
        <v>582</v>
      </c>
      <c r="X13" s="587">
        <v>44517</v>
      </c>
      <c r="Z13" t="s">
        <v>612</v>
      </c>
      <c r="AA13" t="s">
        <v>613</v>
      </c>
      <c r="AB13" s="587">
        <v>44522</v>
      </c>
      <c r="AD13" t="s">
        <v>563</v>
      </c>
      <c r="AE13" t="s">
        <v>564</v>
      </c>
      <c r="AF13" s="587">
        <v>44526</v>
      </c>
    </row>
    <row r="14" spans="1:32" x14ac:dyDescent="0.3">
      <c r="A14" t="s">
        <v>648</v>
      </c>
      <c r="D14"/>
      <c r="E14"/>
      <c r="F14"/>
      <c r="G14">
        <v>16</v>
      </c>
      <c r="H14"/>
      <c r="J14" t="s">
        <v>469</v>
      </c>
      <c r="K14" t="s">
        <v>470</v>
      </c>
      <c r="L14" s="570">
        <v>44524</v>
      </c>
      <c r="N14" t="s">
        <v>506</v>
      </c>
      <c r="O14" t="s">
        <v>507</v>
      </c>
      <c r="P14" s="588">
        <v>44510</v>
      </c>
      <c r="R14" t="s">
        <v>536</v>
      </c>
      <c r="S14" t="s">
        <v>537</v>
      </c>
      <c r="T14" s="587">
        <v>44518</v>
      </c>
      <c r="V14" t="s">
        <v>583</v>
      </c>
      <c r="W14" t="s">
        <v>584</v>
      </c>
      <c r="X14" s="587">
        <v>44512</v>
      </c>
      <c r="Z14" t="s">
        <v>614</v>
      </c>
      <c r="AA14" t="s">
        <v>615</v>
      </c>
      <c r="AB14" s="587">
        <v>44511</v>
      </c>
      <c r="AD14" t="s">
        <v>565</v>
      </c>
      <c r="AE14" t="s">
        <v>566</v>
      </c>
      <c r="AF14" s="587">
        <v>44530</v>
      </c>
    </row>
    <row r="15" spans="1:32" x14ac:dyDescent="0.3">
      <c r="A15" t="s">
        <v>649</v>
      </c>
      <c r="D15"/>
      <c r="E15"/>
      <c r="F15"/>
      <c r="G15">
        <v>1</v>
      </c>
      <c r="H15"/>
      <c r="J15" t="s">
        <v>471</v>
      </c>
      <c r="K15" t="s">
        <v>472</v>
      </c>
      <c r="L15" s="570">
        <v>44516</v>
      </c>
      <c r="N15" t="s">
        <v>508</v>
      </c>
      <c r="O15" t="s">
        <v>509</v>
      </c>
      <c r="P15" s="588">
        <v>44509</v>
      </c>
      <c r="R15" t="s">
        <v>538</v>
      </c>
      <c r="S15" t="s">
        <v>539</v>
      </c>
      <c r="T15" s="587">
        <v>44530</v>
      </c>
      <c r="V15" t="s">
        <v>585</v>
      </c>
      <c r="W15" t="s">
        <v>586</v>
      </c>
      <c r="X15" s="587">
        <v>44505</v>
      </c>
      <c r="Z15" t="s">
        <v>616</v>
      </c>
      <c r="AA15" t="s">
        <v>617</v>
      </c>
      <c r="AB15" s="587">
        <v>44504</v>
      </c>
      <c r="AD15" t="s">
        <v>567</v>
      </c>
      <c r="AE15" t="s">
        <v>568</v>
      </c>
      <c r="AF15" s="587">
        <v>44526</v>
      </c>
    </row>
    <row r="16" spans="1:32" x14ac:dyDescent="0.3">
      <c r="A16" t="s">
        <v>650</v>
      </c>
      <c r="D16"/>
      <c r="E16"/>
      <c r="F16"/>
      <c r="G16">
        <v>9</v>
      </c>
      <c r="H16"/>
      <c r="J16" t="s">
        <v>473</v>
      </c>
      <c r="K16" t="s">
        <v>474</v>
      </c>
      <c r="L16" s="587">
        <v>44502</v>
      </c>
      <c r="N16" t="s">
        <v>510</v>
      </c>
      <c r="O16" t="s">
        <v>511</v>
      </c>
      <c r="P16" s="588">
        <v>44529</v>
      </c>
      <c r="R16" t="s">
        <v>540</v>
      </c>
      <c r="S16" t="s">
        <v>541</v>
      </c>
      <c r="T16" s="587">
        <v>44530</v>
      </c>
      <c r="V16" t="s">
        <v>587</v>
      </c>
      <c r="W16" t="s">
        <v>588</v>
      </c>
      <c r="X16" s="587">
        <v>44530</v>
      </c>
      <c r="Z16" t="s">
        <v>618</v>
      </c>
      <c r="AA16" t="s">
        <v>619</v>
      </c>
      <c r="AB16" s="587">
        <v>44511</v>
      </c>
      <c r="AD16" t="s">
        <v>569</v>
      </c>
      <c r="AE16" t="s">
        <v>570</v>
      </c>
      <c r="AF16" s="587">
        <v>44530</v>
      </c>
    </row>
    <row r="17" spans="1:28" x14ac:dyDescent="0.3">
      <c r="A17" t="s">
        <v>651</v>
      </c>
      <c r="D17"/>
      <c r="E17"/>
      <c r="F17"/>
      <c r="G17">
        <v>5</v>
      </c>
      <c r="H17"/>
      <c r="J17" t="s">
        <v>475</v>
      </c>
      <c r="K17" t="s">
        <v>476</v>
      </c>
      <c r="L17" s="587">
        <v>44510</v>
      </c>
      <c r="N17" t="s">
        <v>512</v>
      </c>
      <c r="O17" t="s">
        <v>513</v>
      </c>
      <c r="P17" s="588">
        <v>44529</v>
      </c>
      <c r="R17" t="s">
        <v>542</v>
      </c>
      <c r="S17" t="s">
        <v>543</v>
      </c>
      <c r="T17" s="587">
        <v>44525</v>
      </c>
      <c r="V17" t="s">
        <v>589</v>
      </c>
      <c r="W17" t="s">
        <v>590</v>
      </c>
      <c r="X17" s="587">
        <v>44502</v>
      </c>
      <c r="Z17" t="s">
        <v>620</v>
      </c>
      <c r="AA17" t="s">
        <v>621</v>
      </c>
      <c r="AB17" s="587">
        <v>44506</v>
      </c>
    </row>
    <row r="18" spans="1:28" x14ac:dyDescent="0.3">
      <c r="A18" t="s">
        <v>652</v>
      </c>
      <c r="D18"/>
      <c r="E18"/>
      <c r="F18"/>
      <c r="G18">
        <v>5</v>
      </c>
      <c r="H18"/>
      <c r="J18" t="s">
        <v>477</v>
      </c>
      <c r="K18" t="s">
        <v>478</v>
      </c>
      <c r="L18" s="587">
        <v>44513</v>
      </c>
      <c r="N18" t="s">
        <v>514</v>
      </c>
      <c r="O18" t="s">
        <v>515</v>
      </c>
      <c r="P18" s="588">
        <v>44517</v>
      </c>
      <c r="R18" t="s">
        <v>544</v>
      </c>
      <c r="S18" t="s">
        <v>545</v>
      </c>
      <c r="T18" s="587">
        <v>44530</v>
      </c>
      <c r="V18" t="s">
        <v>591</v>
      </c>
      <c r="W18" t="s">
        <v>592</v>
      </c>
      <c r="X18" s="587">
        <v>44504</v>
      </c>
      <c r="Z18" t="s">
        <v>622</v>
      </c>
      <c r="AA18" t="s">
        <v>623</v>
      </c>
      <c r="AB18" s="587">
        <v>44508</v>
      </c>
    </row>
    <row r="19" spans="1:28" x14ac:dyDescent="0.3">
      <c r="A19" t="s">
        <v>653</v>
      </c>
      <c r="D19"/>
      <c r="E19"/>
      <c r="F19"/>
      <c r="G19">
        <v>25</v>
      </c>
      <c r="H19"/>
      <c r="J19" t="s">
        <v>479</v>
      </c>
      <c r="K19" t="s">
        <v>480</v>
      </c>
      <c r="L19" s="570">
        <v>44516</v>
      </c>
      <c r="N19" t="s">
        <v>516</v>
      </c>
      <c r="O19" t="s">
        <v>517</v>
      </c>
      <c r="P19" s="588">
        <v>44509</v>
      </c>
      <c r="R19" t="s">
        <v>546</v>
      </c>
      <c r="S19" t="s">
        <v>547</v>
      </c>
      <c r="T19" s="587">
        <v>44516</v>
      </c>
      <c r="V19" t="s">
        <v>593</v>
      </c>
      <c r="W19" t="s">
        <v>594</v>
      </c>
      <c r="X19" s="587">
        <v>44530</v>
      </c>
      <c r="Z19" t="s">
        <v>624</v>
      </c>
      <c r="AA19" t="s">
        <v>625</v>
      </c>
      <c r="AB19" s="587">
        <v>44505</v>
      </c>
    </row>
    <row r="20" spans="1:28" x14ac:dyDescent="0.3">
      <c r="A20" t="s">
        <v>654</v>
      </c>
      <c r="D20"/>
      <c r="E20"/>
      <c r="F20"/>
      <c r="G20">
        <v>5</v>
      </c>
      <c r="H20"/>
      <c r="J20" t="s">
        <v>481</v>
      </c>
      <c r="K20" t="s">
        <v>482</v>
      </c>
      <c r="L20" s="570">
        <v>44510</v>
      </c>
      <c r="N20" t="s">
        <v>518</v>
      </c>
      <c r="O20" t="s">
        <v>519</v>
      </c>
      <c r="P20" s="588">
        <v>44525</v>
      </c>
      <c r="R20" t="s">
        <v>548</v>
      </c>
      <c r="S20" t="s">
        <v>549</v>
      </c>
      <c r="T20" s="587">
        <v>44530</v>
      </c>
      <c r="V20" t="s">
        <v>595</v>
      </c>
      <c r="W20" t="s">
        <v>596</v>
      </c>
      <c r="X20" s="587">
        <v>44517</v>
      </c>
      <c r="Z20" t="s">
        <v>626</v>
      </c>
      <c r="AA20" t="s">
        <v>627</v>
      </c>
      <c r="AB20" s="587">
        <v>44510</v>
      </c>
    </row>
    <row r="21" spans="1:28" x14ac:dyDescent="0.3">
      <c r="A21" t="s">
        <v>655</v>
      </c>
      <c r="D21"/>
      <c r="E21">
        <v>2</v>
      </c>
      <c r="F21"/>
      <c r="G21"/>
      <c r="H21"/>
      <c r="J21" t="s">
        <v>483</v>
      </c>
      <c r="K21" t="s">
        <v>484</v>
      </c>
      <c r="L21" s="570">
        <v>44524</v>
      </c>
      <c r="N21" t="s">
        <v>520</v>
      </c>
      <c r="O21" t="s">
        <v>521</v>
      </c>
      <c r="P21" s="588">
        <v>44509</v>
      </c>
      <c r="R21" t="s">
        <v>550</v>
      </c>
      <c r="S21" t="s">
        <v>551</v>
      </c>
      <c r="T21" s="587">
        <v>44526</v>
      </c>
      <c r="V21" t="s">
        <v>597</v>
      </c>
      <c r="W21" t="s">
        <v>598</v>
      </c>
      <c r="X21" s="587">
        <v>44519</v>
      </c>
      <c r="Z21" t="s">
        <v>628</v>
      </c>
      <c r="AA21" t="s">
        <v>629</v>
      </c>
      <c r="AB21" s="587">
        <v>44511</v>
      </c>
    </row>
    <row r="22" spans="1:28" x14ac:dyDescent="0.3">
      <c r="A22" t="s">
        <v>656</v>
      </c>
      <c r="D22"/>
      <c r="E22">
        <v>1</v>
      </c>
      <c r="F22"/>
      <c r="G22"/>
      <c r="H22"/>
      <c r="J22" t="s">
        <v>485</v>
      </c>
      <c r="K22" t="s">
        <v>486</v>
      </c>
      <c r="L22" s="570">
        <v>44522</v>
      </c>
      <c r="N22" t="s">
        <v>522</v>
      </c>
      <c r="O22" t="s">
        <v>523</v>
      </c>
      <c r="P22" s="588">
        <v>44526</v>
      </c>
      <c r="T22" s="587"/>
      <c r="V22" t="s">
        <v>599</v>
      </c>
      <c r="W22" t="s">
        <v>600</v>
      </c>
      <c r="X22" s="587">
        <v>44530</v>
      </c>
      <c r="Z22" t="s">
        <v>630</v>
      </c>
      <c r="AA22" t="s">
        <v>631</v>
      </c>
      <c r="AB22" s="587">
        <v>44508</v>
      </c>
    </row>
    <row r="23" spans="1:28" x14ac:dyDescent="0.3">
      <c r="A23" t="s">
        <v>657</v>
      </c>
      <c r="D23"/>
      <c r="E23">
        <v>1</v>
      </c>
      <c r="F23"/>
      <c r="G23"/>
      <c r="H23"/>
      <c r="J23" t="s">
        <v>487</v>
      </c>
      <c r="K23" t="s">
        <v>488</v>
      </c>
      <c r="L23" s="570">
        <v>44525</v>
      </c>
      <c r="P23" s="588"/>
      <c r="T23" s="587"/>
      <c r="V23" t="s">
        <v>601</v>
      </c>
      <c r="W23" t="s">
        <v>602</v>
      </c>
      <c r="X23" s="587">
        <v>44530</v>
      </c>
      <c r="Z23" t="s">
        <v>632</v>
      </c>
      <c r="AA23" t="s">
        <v>633</v>
      </c>
      <c r="AB23" s="587">
        <v>44530</v>
      </c>
    </row>
    <row r="24" spans="1:28" x14ac:dyDescent="0.3">
      <c r="A24" t="s">
        <v>658</v>
      </c>
      <c r="D24"/>
      <c r="E24">
        <v>1</v>
      </c>
      <c r="F24"/>
      <c r="G24"/>
      <c r="H24"/>
      <c r="J24" t="s">
        <v>489</v>
      </c>
      <c r="K24" t="s">
        <v>488</v>
      </c>
      <c r="L24" s="570">
        <v>44525</v>
      </c>
      <c r="P24" s="588"/>
      <c r="T24" s="587"/>
      <c r="X24" s="587"/>
      <c r="Z24" t="s">
        <v>634</v>
      </c>
      <c r="AA24" t="s">
        <v>635</v>
      </c>
      <c r="AB24" s="587">
        <v>44512</v>
      </c>
    </row>
    <row r="25" spans="1:28" x14ac:dyDescent="0.3">
      <c r="A25" t="s">
        <v>659</v>
      </c>
      <c r="D25"/>
      <c r="E25"/>
      <c r="F25">
        <v>4</v>
      </c>
      <c r="G25"/>
      <c r="H25"/>
      <c r="J25" t="s">
        <v>490</v>
      </c>
      <c r="K25" t="s">
        <v>491</v>
      </c>
      <c r="L25" s="570">
        <v>44517</v>
      </c>
      <c r="P25" s="588"/>
      <c r="T25" s="587"/>
      <c r="X25" s="587"/>
      <c r="Z25" t="s">
        <v>636</v>
      </c>
      <c r="AA25" t="s">
        <v>637</v>
      </c>
      <c r="AB25" s="587">
        <v>44523</v>
      </c>
    </row>
    <row r="26" spans="1:28" x14ac:dyDescent="0.3">
      <c r="A26" t="s">
        <v>660</v>
      </c>
      <c r="D26">
        <v>65</v>
      </c>
      <c r="E26"/>
      <c r="F26"/>
      <c r="G26"/>
      <c r="H26"/>
      <c r="J26" t="s">
        <v>492</v>
      </c>
      <c r="K26" t="s">
        <v>493</v>
      </c>
      <c r="L26" s="570">
        <v>44516</v>
      </c>
      <c r="O26" t="s">
        <v>1068</v>
      </c>
      <c r="P26" s="588"/>
      <c r="T26" s="587"/>
      <c r="X26" s="587"/>
      <c r="AB26" s="587"/>
    </row>
    <row r="27" spans="1:28" x14ac:dyDescent="0.3">
      <c r="A27" t="s">
        <v>661</v>
      </c>
      <c r="D27"/>
      <c r="E27">
        <v>5</v>
      </c>
      <c r="F27"/>
      <c r="G27"/>
      <c r="H27"/>
      <c r="L27" s="570"/>
      <c r="P27" s="588"/>
      <c r="T27" s="587"/>
      <c r="AB27" s="587"/>
    </row>
    <row r="28" spans="1:28" x14ac:dyDescent="0.3">
      <c r="A28" t="s">
        <v>662</v>
      </c>
      <c r="D28"/>
      <c r="E28">
        <v>1</v>
      </c>
      <c r="F28"/>
      <c r="G28"/>
      <c r="H28"/>
      <c r="P28" s="588"/>
      <c r="T28" s="587"/>
      <c r="AB28" s="587"/>
    </row>
    <row r="29" spans="1:28" x14ac:dyDescent="0.3">
      <c r="A29" t="s">
        <v>663</v>
      </c>
      <c r="D29"/>
      <c r="E29"/>
      <c r="F29"/>
      <c r="G29">
        <v>6</v>
      </c>
      <c r="H29"/>
      <c r="P29" s="588"/>
      <c r="T29" s="587"/>
      <c r="AB29" s="587"/>
    </row>
    <row r="30" spans="1:28" x14ac:dyDescent="0.3">
      <c r="A30" t="s">
        <v>664</v>
      </c>
      <c r="B30">
        <v>1</v>
      </c>
      <c r="D30"/>
      <c r="E30"/>
      <c r="F30"/>
      <c r="G30"/>
      <c r="H30"/>
      <c r="P30" s="588"/>
      <c r="AB30" s="587"/>
    </row>
    <row r="31" spans="1:28" x14ac:dyDescent="0.3">
      <c r="A31" t="s">
        <v>665</v>
      </c>
      <c r="D31"/>
      <c r="E31"/>
      <c r="F31"/>
      <c r="G31">
        <v>1</v>
      </c>
      <c r="H31"/>
      <c r="P31" s="588"/>
      <c r="AB31" s="587"/>
    </row>
    <row r="32" spans="1:28" x14ac:dyDescent="0.3">
      <c r="A32" t="s">
        <v>666</v>
      </c>
      <c r="D32"/>
      <c r="E32">
        <v>2</v>
      </c>
      <c r="F32"/>
      <c r="G32"/>
      <c r="H32"/>
      <c r="P32" s="588"/>
      <c r="AB32" s="587"/>
    </row>
    <row r="33" spans="1:28" x14ac:dyDescent="0.3">
      <c r="A33" t="s">
        <v>667</v>
      </c>
      <c r="D33"/>
      <c r="E33">
        <v>4</v>
      </c>
      <c r="F33"/>
      <c r="G33"/>
      <c r="H33"/>
      <c r="P33" s="588"/>
      <c r="AB33" s="587"/>
    </row>
    <row r="34" spans="1:28" x14ac:dyDescent="0.3">
      <c r="A34" t="s">
        <v>668</v>
      </c>
      <c r="D34"/>
      <c r="E34">
        <v>4</v>
      </c>
      <c r="F34"/>
      <c r="G34"/>
      <c r="H34"/>
      <c r="P34" s="588"/>
      <c r="AB34" s="587"/>
    </row>
    <row r="35" spans="1:28" x14ac:dyDescent="0.3">
      <c r="A35" t="s">
        <v>669</v>
      </c>
      <c r="B35">
        <v>1</v>
      </c>
      <c r="D35"/>
      <c r="E35"/>
      <c r="F35"/>
      <c r="G35"/>
      <c r="H35"/>
      <c r="P35" s="588"/>
      <c r="AB35" s="587"/>
    </row>
    <row r="36" spans="1:28" x14ac:dyDescent="0.3">
      <c r="A36" t="s">
        <v>670</v>
      </c>
      <c r="B36">
        <v>2</v>
      </c>
      <c r="D36"/>
      <c r="E36"/>
      <c r="F36"/>
      <c r="G36"/>
      <c r="H36"/>
      <c r="P36" s="588"/>
      <c r="AB36" s="587"/>
    </row>
    <row r="37" spans="1:28" x14ac:dyDescent="0.3">
      <c r="A37" t="s">
        <v>671</v>
      </c>
      <c r="B37">
        <v>1</v>
      </c>
      <c r="D37"/>
      <c r="E37"/>
      <c r="F37"/>
      <c r="G37"/>
      <c r="H37"/>
      <c r="P37" s="588"/>
      <c r="AB37" s="587"/>
    </row>
    <row r="38" spans="1:28" x14ac:dyDescent="0.3">
      <c r="A38" t="s">
        <v>672</v>
      </c>
      <c r="D38"/>
      <c r="E38">
        <v>4</v>
      </c>
      <c r="F38"/>
      <c r="G38"/>
      <c r="H38"/>
      <c r="P38" s="588"/>
      <c r="AB38" s="587"/>
    </row>
    <row r="39" spans="1:28" x14ac:dyDescent="0.3">
      <c r="A39" t="s">
        <v>673</v>
      </c>
      <c r="D39"/>
      <c r="E39"/>
      <c r="F39">
        <v>1</v>
      </c>
      <c r="G39"/>
      <c r="H39"/>
      <c r="AB39" s="587"/>
    </row>
    <row r="40" spans="1:28" x14ac:dyDescent="0.3">
      <c r="A40" t="s">
        <v>674</v>
      </c>
      <c r="D40"/>
      <c r="E40"/>
      <c r="F40">
        <v>1</v>
      </c>
      <c r="G40"/>
      <c r="H40"/>
      <c r="AB40" s="587"/>
    </row>
    <row r="41" spans="1:28" x14ac:dyDescent="0.3">
      <c r="A41" t="s">
        <v>675</v>
      </c>
      <c r="B41">
        <v>2</v>
      </c>
      <c r="D41"/>
      <c r="E41"/>
      <c r="F41"/>
      <c r="G41"/>
      <c r="H41"/>
      <c r="AB41" s="587"/>
    </row>
    <row r="42" spans="1:28" x14ac:dyDescent="0.3">
      <c r="A42" t="s">
        <v>676</v>
      </c>
      <c r="B42">
        <v>3</v>
      </c>
      <c r="D42"/>
      <c r="E42"/>
      <c r="F42"/>
      <c r="G42"/>
      <c r="H42"/>
      <c r="AB42" s="587"/>
    </row>
    <row r="43" spans="1:28" x14ac:dyDescent="0.3">
      <c r="A43" t="s">
        <v>677</v>
      </c>
      <c r="D43"/>
      <c r="E43"/>
      <c r="F43"/>
      <c r="G43">
        <v>2</v>
      </c>
      <c r="H43"/>
      <c r="AB43" s="587"/>
    </row>
    <row r="44" spans="1:28" x14ac:dyDescent="0.3">
      <c r="A44" t="s">
        <v>678</v>
      </c>
      <c r="D44"/>
      <c r="E44"/>
      <c r="F44"/>
      <c r="G44">
        <v>2</v>
      </c>
      <c r="H44"/>
      <c r="AB44" s="587"/>
    </row>
    <row r="45" spans="1:28" x14ac:dyDescent="0.3">
      <c r="A45" t="s">
        <v>679</v>
      </c>
      <c r="D45"/>
      <c r="E45"/>
      <c r="F45"/>
      <c r="G45">
        <v>8</v>
      </c>
      <c r="H45"/>
      <c r="AB45" s="587"/>
    </row>
    <row r="46" spans="1:28" x14ac:dyDescent="0.3">
      <c r="A46" t="s">
        <v>680</v>
      </c>
      <c r="D46"/>
      <c r="E46">
        <v>1</v>
      </c>
      <c r="F46"/>
      <c r="G46"/>
      <c r="H46"/>
      <c r="AB46" s="587"/>
    </row>
    <row r="47" spans="1:28" x14ac:dyDescent="0.3">
      <c r="A47" t="s">
        <v>681</v>
      </c>
      <c r="D47"/>
      <c r="E47">
        <v>4</v>
      </c>
      <c r="F47"/>
      <c r="G47"/>
      <c r="H47"/>
    </row>
    <row r="48" spans="1:28" x14ac:dyDescent="0.3">
      <c r="A48" t="s">
        <v>682</v>
      </c>
      <c r="D48"/>
      <c r="E48">
        <v>2</v>
      </c>
      <c r="F48"/>
      <c r="G48"/>
      <c r="H48"/>
    </row>
    <row r="49" spans="1:8" x14ac:dyDescent="0.3">
      <c r="A49" t="s">
        <v>683</v>
      </c>
      <c r="D49">
        <v>15</v>
      </c>
      <c r="E49"/>
      <c r="F49"/>
      <c r="G49"/>
      <c r="H49"/>
    </row>
    <row r="50" spans="1:8" x14ac:dyDescent="0.3">
      <c r="A50" t="s">
        <v>684</v>
      </c>
      <c r="D50">
        <v>4</v>
      </c>
      <c r="E50"/>
      <c r="F50"/>
      <c r="G50"/>
      <c r="H50"/>
    </row>
    <row r="51" spans="1:8" x14ac:dyDescent="0.3">
      <c r="A51" t="s">
        <v>685</v>
      </c>
      <c r="D51">
        <v>1</v>
      </c>
      <c r="E51"/>
      <c r="F51"/>
      <c r="G51"/>
      <c r="H51"/>
    </row>
    <row r="52" spans="1:8" x14ac:dyDescent="0.3">
      <c r="A52" t="s">
        <v>686</v>
      </c>
      <c r="D52"/>
      <c r="E52"/>
      <c r="F52"/>
      <c r="G52">
        <v>5</v>
      </c>
      <c r="H52"/>
    </row>
    <row r="53" spans="1:8" x14ac:dyDescent="0.3">
      <c r="A53" t="s">
        <v>687</v>
      </c>
      <c r="D53">
        <v>15</v>
      </c>
      <c r="E53"/>
      <c r="F53"/>
      <c r="G53"/>
      <c r="H53"/>
    </row>
    <row r="54" spans="1:8" x14ac:dyDescent="0.3">
      <c r="A54" t="s">
        <v>688</v>
      </c>
      <c r="D54"/>
      <c r="E54"/>
      <c r="F54">
        <v>5</v>
      </c>
      <c r="G54"/>
      <c r="H54"/>
    </row>
    <row r="55" spans="1:8" x14ac:dyDescent="0.3">
      <c r="A55" t="s">
        <v>689</v>
      </c>
      <c r="D55"/>
      <c r="E55">
        <v>4</v>
      </c>
      <c r="F55"/>
      <c r="G55"/>
      <c r="H55"/>
    </row>
    <row r="56" spans="1:8" x14ac:dyDescent="0.3">
      <c r="A56" t="s">
        <v>690</v>
      </c>
      <c r="D56"/>
      <c r="E56">
        <v>1</v>
      </c>
      <c r="F56"/>
      <c r="G56"/>
      <c r="H56"/>
    </row>
    <row r="57" spans="1:8" x14ac:dyDescent="0.3">
      <c r="A57" t="s">
        <v>691</v>
      </c>
      <c r="D57"/>
      <c r="E57">
        <v>7</v>
      </c>
      <c r="F57"/>
      <c r="G57"/>
      <c r="H57"/>
    </row>
    <row r="58" spans="1:8" x14ac:dyDescent="0.3">
      <c r="A58" t="s">
        <v>692</v>
      </c>
      <c r="D58"/>
      <c r="E58">
        <v>3</v>
      </c>
      <c r="F58"/>
      <c r="G58"/>
      <c r="H58"/>
    </row>
    <row r="59" spans="1:8" x14ac:dyDescent="0.3">
      <c r="A59" t="s">
        <v>693</v>
      </c>
      <c r="D59"/>
      <c r="E59">
        <v>15</v>
      </c>
      <c r="F59"/>
      <c r="G59"/>
      <c r="H59"/>
    </row>
    <row r="60" spans="1:8" x14ac:dyDescent="0.3">
      <c r="A60" t="s">
        <v>694</v>
      </c>
      <c r="D60"/>
      <c r="E60"/>
      <c r="F60"/>
      <c r="G60">
        <v>2</v>
      </c>
      <c r="H60"/>
    </row>
    <row r="61" spans="1:8" x14ac:dyDescent="0.3">
      <c r="A61" t="s">
        <v>695</v>
      </c>
      <c r="B61">
        <v>2</v>
      </c>
      <c r="D61"/>
      <c r="E61"/>
      <c r="F61"/>
      <c r="G61"/>
      <c r="H61"/>
    </row>
    <row r="62" spans="1:8" x14ac:dyDescent="0.3">
      <c r="A62" t="s">
        <v>696</v>
      </c>
      <c r="B62">
        <v>3</v>
      </c>
      <c r="D62"/>
      <c r="E62"/>
      <c r="F62"/>
      <c r="G62"/>
      <c r="H62"/>
    </row>
    <row r="63" spans="1:8" x14ac:dyDescent="0.3">
      <c r="A63" t="s">
        <v>697</v>
      </c>
      <c r="B63">
        <v>3</v>
      </c>
      <c r="D63"/>
      <c r="E63"/>
      <c r="F63"/>
      <c r="G63"/>
      <c r="H63"/>
    </row>
    <row r="64" spans="1:8" x14ac:dyDescent="0.3">
      <c r="A64" t="s">
        <v>698</v>
      </c>
      <c r="D64"/>
      <c r="E64"/>
      <c r="F64"/>
      <c r="G64">
        <v>50</v>
      </c>
      <c r="H64"/>
    </row>
    <row r="65" spans="1:8" x14ac:dyDescent="0.3">
      <c r="A65" t="s">
        <v>699</v>
      </c>
      <c r="D65">
        <v>7</v>
      </c>
      <c r="E65"/>
      <c r="F65"/>
      <c r="G65"/>
      <c r="H65"/>
    </row>
    <row r="66" spans="1:8" x14ac:dyDescent="0.3">
      <c r="A66" t="s">
        <v>700</v>
      </c>
      <c r="D66"/>
      <c r="E66"/>
      <c r="F66">
        <v>4</v>
      </c>
      <c r="G66"/>
      <c r="H66"/>
    </row>
    <row r="67" spans="1:8" x14ac:dyDescent="0.3">
      <c r="A67" t="s">
        <v>701</v>
      </c>
      <c r="D67"/>
      <c r="E67"/>
      <c r="F67">
        <v>30</v>
      </c>
      <c r="G67"/>
      <c r="H67"/>
    </row>
    <row r="68" spans="1:8" x14ac:dyDescent="0.3">
      <c r="A68" t="s">
        <v>702</v>
      </c>
      <c r="B68">
        <v>2</v>
      </c>
      <c r="D68"/>
      <c r="E68"/>
      <c r="F68"/>
      <c r="G68"/>
      <c r="H68"/>
    </row>
    <row r="69" spans="1:8" x14ac:dyDescent="0.3">
      <c r="A69" t="s">
        <v>703</v>
      </c>
      <c r="B69">
        <v>2</v>
      </c>
      <c r="D69"/>
      <c r="E69"/>
      <c r="F69"/>
      <c r="G69"/>
      <c r="H69"/>
    </row>
    <row r="70" spans="1:8" x14ac:dyDescent="0.3">
      <c r="A70" t="s">
        <v>704</v>
      </c>
      <c r="D70"/>
      <c r="E70">
        <v>2</v>
      </c>
      <c r="F70"/>
      <c r="G70"/>
      <c r="H70"/>
    </row>
    <row r="71" spans="1:8" x14ac:dyDescent="0.3">
      <c r="A71" t="s">
        <v>705</v>
      </c>
      <c r="D71"/>
      <c r="E71"/>
      <c r="F71"/>
      <c r="G71">
        <v>2</v>
      </c>
      <c r="H71"/>
    </row>
    <row r="72" spans="1:8" x14ac:dyDescent="0.3">
      <c r="A72" t="s">
        <v>706</v>
      </c>
      <c r="D72"/>
      <c r="E72"/>
      <c r="F72"/>
      <c r="G72">
        <v>5</v>
      </c>
      <c r="H72"/>
    </row>
    <row r="73" spans="1:8" x14ac:dyDescent="0.3">
      <c r="A73" t="s">
        <v>707</v>
      </c>
      <c r="D73"/>
      <c r="E73">
        <v>15</v>
      </c>
      <c r="F73"/>
      <c r="G73"/>
      <c r="H73"/>
    </row>
    <row r="74" spans="1:8" x14ac:dyDescent="0.3">
      <c r="A74" t="s">
        <v>708</v>
      </c>
      <c r="D74"/>
      <c r="E74">
        <v>15</v>
      </c>
      <c r="F74"/>
      <c r="G74"/>
      <c r="H74"/>
    </row>
    <row r="75" spans="1:8" x14ac:dyDescent="0.3">
      <c r="A75" t="s">
        <v>709</v>
      </c>
      <c r="D75"/>
      <c r="E75"/>
      <c r="F75">
        <v>2</v>
      </c>
      <c r="G75"/>
      <c r="H75"/>
    </row>
    <row r="76" spans="1:8" x14ac:dyDescent="0.3">
      <c r="A76" t="s">
        <v>710</v>
      </c>
      <c r="D76"/>
      <c r="E76"/>
      <c r="F76">
        <v>3</v>
      </c>
      <c r="G76"/>
      <c r="H76"/>
    </row>
    <row r="77" spans="1:8" x14ac:dyDescent="0.3">
      <c r="A77" t="s">
        <v>711</v>
      </c>
      <c r="D77"/>
      <c r="E77"/>
      <c r="F77">
        <v>2</v>
      </c>
      <c r="G77"/>
      <c r="H77"/>
    </row>
    <row r="78" spans="1:8" x14ac:dyDescent="0.3">
      <c r="A78" t="s">
        <v>712</v>
      </c>
      <c r="D78"/>
      <c r="E78"/>
      <c r="F78">
        <v>1</v>
      </c>
      <c r="G78"/>
      <c r="H78"/>
    </row>
    <row r="79" spans="1:8" x14ac:dyDescent="0.3">
      <c r="A79" t="s">
        <v>713</v>
      </c>
      <c r="D79"/>
      <c r="E79"/>
      <c r="F79">
        <v>7</v>
      </c>
      <c r="G79"/>
      <c r="H79"/>
    </row>
    <row r="80" spans="1:8" x14ac:dyDescent="0.3">
      <c r="A80" t="s">
        <v>714</v>
      </c>
      <c r="D80"/>
      <c r="E80">
        <v>16</v>
      </c>
      <c r="F80"/>
      <c r="G80"/>
      <c r="H80"/>
    </row>
    <row r="81" spans="1:8" x14ac:dyDescent="0.3">
      <c r="A81" t="s">
        <v>715</v>
      </c>
      <c r="D81"/>
      <c r="E81">
        <v>1</v>
      </c>
      <c r="F81"/>
      <c r="G81"/>
      <c r="H81"/>
    </row>
    <row r="82" spans="1:8" x14ac:dyDescent="0.3">
      <c r="A82" t="s">
        <v>716</v>
      </c>
      <c r="D82"/>
      <c r="E82">
        <v>2</v>
      </c>
      <c r="F82"/>
      <c r="G82"/>
      <c r="H82"/>
    </row>
    <row r="83" spans="1:8" x14ac:dyDescent="0.3">
      <c r="A83" t="s">
        <v>717</v>
      </c>
      <c r="D83"/>
      <c r="E83">
        <v>4</v>
      </c>
      <c r="F83"/>
      <c r="G83"/>
      <c r="H83"/>
    </row>
    <row r="84" spans="1:8" x14ac:dyDescent="0.3">
      <c r="A84" t="s">
        <v>718</v>
      </c>
      <c r="D84"/>
      <c r="E84">
        <v>3</v>
      </c>
      <c r="F84"/>
      <c r="G84"/>
      <c r="H84"/>
    </row>
    <row r="85" spans="1:8" x14ac:dyDescent="0.3">
      <c r="A85" t="s">
        <v>719</v>
      </c>
      <c r="D85"/>
      <c r="E85"/>
      <c r="F85"/>
      <c r="G85">
        <v>15</v>
      </c>
      <c r="H85"/>
    </row>
    <row r="86" spans="1:8" x14ac:dyDescent="0.3">
      <c r="A86" t="s">
        <v>720</v>
      </c>
      <c r="B86">
        <v>1</v>
      </c>
      <c r="D86"/>
      <c r="E86"/>
      <c r="F86"/>
      <c r="G86"/>
      <c r="H86"/>
    </row>
    <row r="87" spans="1:8" x14ac:dyDescent="0.3">
      <c r="A87" t="s">
        <v>721</v>
      </c>
      <c r="B87">
        <v>3</v>
      </c>
      <c r="D87"/>
      <c r="E87"/>
      <c r="F87"/>
      <c r="G87"/>
      <c r="H87"/>
    </row>
    <row r="88" spans="1:8" x14ac:dyDescent="0.3">
      <c r="A88" t="s">
        <v>722</v>
      </c>
      <c r="B88">
        <v>2</v>
      </c>
      <c r="D88"/>
      <c r="E88"/>
      <c r="F88"/>
      <c r="G88"/>
      <c r="H88"/>
    </row>
    <row r="89" spans="1:8" x14ac:dyDescent="0.3">
      <c r="A89" t="s">
        <v>723</v>
      </c>
      <c r="B89">
        <v>5</v>
      </c>
      <c r="D89"/>
      <c r="E89"/>
      <c r="F89"/>
      <c r="G89"/>
      <c r="H89"/>
    </row>
    <row r="90" spans="1:8" x14ac:dyDescent="0.3">
      <c r="A90" t="s">
        <v>724</v>
      </c>
      <c r="D90"/>
      <c r="E90"/>
      <c r="F90">
        <v>1</v>
      </c>
      <c r="G90"/>
      <c r="H90"/>
    </row>
    <row r="91" spans="1:8" x14ac:dyDescent="0.3">
      <c r="A91" t="s">
        <v>725</v>
      </c>
      <c r="D91"/>
      <c r="E91"/>
      <c r="F91">
        <v>2</v>
      </c>
      <c r="G91"/>
      <c r="H91"/>
    </row>
    <row r="92" spans="1:8" x14ac:dyDescent="0.3">
      <c r="A92" t="s">
        <v>726</v>
      </c>
      <c r="D92"/>
      <c r="E92"/>
      <c r="F92">
        <v>4</v>
      </c>
      <c r="G92"/>
      <c r="H92"/>
    </row>
    <row r="93" spans="1:8" x14ac:dyDescent="0.3">
      <c r="A93" t="s">
        <v>727</v>
      </c>
      <c r="D93"/>
      <c r="E93"/>
      <c r="F93">
        <v>30</v>
      </c>
      <c r="G93"/>
      <c r="H93"/>
    </row>
    <row r="94" spans="1:8" x14ac:dyDescent="0.3">
      <c r="A94" t="s">
        <v>728</v>
      </c>
      <c r="D94"/>
      <c r="E94"/>
      <c r="F94">
        <v>1</v>
      </c>
      <c r="G94"/>
      <c r="H94"/>
    </row>
    <row r="95" spans="1:8" x14ac:dyDescent="0.3">
      <c r="A95" t="s">
        <v>729</v>
      </c>
      <c r="D95"/>
      <c r="E95"/>
      <c r="F95">
        <v>8</v>
      </c>
      <c r="G95"/>
      <c r="H95"/>
    </row>
    <row r="96" spans="1:8" x14ac:dyDescent="0.3">
      <c r="A96" t="s">
        <v>730</v>
      </c>
      <c r="D96"/>
      <c r="E96"/>
      <c r="F96">
        <v>1</v>
      </c>
      <c r="G96"/>
      <c r="H96"/>
    </row>
    <row r="97" spans="1:8" x14ac:dyDescent="0.3">
      <c r="A97" t="s">
        <v>731</v>
      </c>
      <c r="D97"/>
      <c r="E97"/>
      <c r="F97">
        <v>7</v>
      </c>
      <c r="G97"/>
      <c r="H97"/>
    </row>
    <row r="98" spans="1:8" x14ac:dyDescent="0.3">
      <c r="A98" t="s">
        <v>732</v>
      </c>
      <c r="D98"/>
      <c r="E98"/>
      <c r="F98">
        <v>2</v>
      </c>
      <c r="G98"/>
      <c r="H98"/>
    </row>
    <row r="99" spans="1:8" x14ac:dyDescent="0.3">
      <c r="A99" t="s">
        <v>733</v>
      </c>
      <c r="D99"/>
      <c r="E99"/>
      <c r="F99">
        <v>1</v>
      </c>
      <c r="G99"/>
      <c r="H99"/>
    </row>
    <row r="100" spans="1:8" x14ac:dyDescent="0.3">
      <c r="A100" t="s">
        <v>734</v>
      </c>
      <c r="D100"/>
      <c r="E100">
        <v>8</v>
      </c>
      <c r="F100"/>
      <c r="G100"/>
      <c r="H100"/>
    </row>
    <row r="101" spans="1:8" x14ac:dyDescent="0.3">
      <c r="A101" t="s">
        <v>735</v>
      </c>
      <c r="D101"/>
      <c r="E101">
        <v>2</v>
      </c>
      <c r="F101"/>
      <c r="G101"/>
      <c r="H101"/>
    </row>
    <row r="102" spans="1:8" x14ac:dyDescent="0.3">
      <c r="A102" t="s">
        <v>736</v>
      </c>
      <c r="D102"/>
      <c r="E102">
        <v>60</v>
      </c>
      <c r="F102"/>
      <c r="G102"/>
      <c r="H102"/>
    </row>
    <row r="103" spans="1:8" x14ac:dyDescent="0.3">
      <c r="A103" t="s">
        <v>737</v>
      </c>
      <c r="D103"/>
      <c r="E103">
        <v>60</v>
      </c>
      <c r="F103"/>
      <c r="G103"/>
      <c r="H103"/>
    </row>
    <row r="104" spans="1:8" x14ac:dyDescent="0.3">
      <c r="A104" t="s">
        <v>738</v>
      </c>
      <c r="D104"/>
      <c r="E104">
        <v>1</v>
      </c>
      <c r="F104"/>
      <c r="G104"/>
      <c r="H104"/>
    </row>
    <row r="105" spans="1:8" x14ac:dyDescent="0.3">
      <c r="A105" t="s">
        <v>739</v>
      </c>
      <c r="D105"/>
      <c r="E105">
        <v>4</v>
      </c>
      <c r="F105"/>
      <c r="G105"/>
      <c r="H105"/>
    </row>
    <row r="106" spans="1:8" x14ac:dyDescent="0.3">
      <c r="A106" t="s">
        <v>740</v>
      </c>
      <c r="D106"/>
      <c r="E106"/>
      <c r="F106"/>
      <c r="G106">
        <v>2</v>
      </c>
      <c r="H106"/>
    </row>
    <row r="107" spans="1:8" x14ac:dyDescent="0.3">
      <c r="A107" t="s">
        <v>741</v>
      </c>
      <c r="D107"/>
      <c r="E107"/>
      <c r="F107"/>
      <c r="G107">
        <v>1</v>
      </c>
      <c r="H107"/>
    </row>
    <row r="108" spans="1:8" x14ac:dyDescent="0.3">
      <c r="A108" t="s">
        <v>742</v>
      </c>
      <c r="D108">
        <v>2</v>
      </c>
      <c r="E108"/>
      <c r="F108"/>
      <c r="G108"/>
      <c r="H108"/>
    </row>
    <row r="109" spans="1:8" x14ac:dyDescent="0.3">
      <c r="A109" t="s">
        <v>743</v>
      </c>
      <c r="D109">
        <v>1</v>
      </c>
      <c r="E109"/>
      <c r="F109"/>
      <c r="G109"/>
      <c r="H109"/>
    </row>
    <row r="110" spans="1:8" x14ac:dyDescent="0.3">
      <c r="A110" t="s">
        <v>744</v>
      </c>
      <c r="D110">
        <v>20</v>
      </c>
      <c r="E110"/>
      <c r="F110"/>
      <c r="G110"/>
      <c r="H110"/>
    </row>
    <row r="111" spans="1:8" x14ac:dyDescent="0.3">
      <c r="A111" t="s">
        <v>745</v>
      </c>
      <c r="D111">
        <v>45</v>
      </c>
      <c r="E111"/>
      <c r="F111"/>
      <c r="G111"/>
      <c r="H111"/>
    </row>
    <row r="112" spans="1:8" x14ac:dyDescent="0.3">
      <c r="A112" t="s">
        <v>746</v>
      </c>
      <c r="B112">
        <v>1</v>
      </c>
      <c r="D112"/>
      <c r="E112"/>
      <c r="F112"/>
      <c r="G112"/>
      <c r="H112"/>
    </row>
    <row r="113" spans="1:8" x14ac:dyDescent="0.3">
      <c r="A113" t="s">
        <v>747</v>
      </c>
      <c r="B113">
        <v>1</v>
      </c>
      <c r="D113"/>
      <c r="E113"/>
      <c r="F113"/>
      <c r="G113"/>
      <c r="H113"/>
    </row>
    <row r="114" spans="1:8" x14ac:dyDescent="0.3">
      <c r="A114" t="s">
        <v>748</v>
      </c>
      <c r="D114"/>
      <c r="E114"/>
      <c r="F114"/>
      <c r="G114">
        <v>10</v>
      </c>
      <c r="H114"/>
    </row>
    <row r="115" spans="1:8" x14ac:dyDescent="0.3">
      <c r="A115" t="s">
        <v>749</v>
      </c>
      <c r="B115">
        <v>7</v>
      </c>
      <c r="D115"/>
      <c r="E115"/>
      <c r="F115"/>
      <c r="G115"/>
      <c r="H115"/>
    </row>
    <row r="116" spans="1:8" x14ac:dyDescent="0.3">
      <c r="A116" t="s">
        <v>750</v>
      </c>
      <c r="B116">
        <v>5</v>
      </c>
      <c r="D116"/>
      <c r="E116"/>
      <c r="F116"/>
      <c r="G116"/>
      <c r="H116"/>
    </row>
    <row r="117" spans="1:8" x14ac:dyDescent="0.3">
      <c r="A117" t="s">
        <v>751</v>
      </c>
      <c r="B117">
        <v>2</v>
      </c>
      <c r="D117"/>
      <c r="E117"/>
      <c r="F117"/>
      <c r="G117"/>
      <c r="H117"/>
    </row>
    <row r="118" spans="1:8" x14ac:dyDescent="0.3">
      <c r="A118" t="s">
        <v>752</v>
      </c>
      <c r="B118">
        <v>2</v>
      </c>
      <c r="D118"/>
      <c r="E118"/>
      <c r="F118"/>
      <c r="G118"/>
      <c r="H118"/>
    </row>
    <row r="119" spans="1:8" x14ac:dyDescent="0.3">
      <c r="A119" t="s">
        <v>753</v>
      </c>
      <c r="B119">
        <v>1</v>
      </c>
      <c r="D119"/>
      <c r="E119"/>
      <c r="F119"/>
      <c r="G119"/>
      <c r="H119"/>
    </row>
    <row r="120" spans="1:8" x14ac:dyDescent="0.3">
      <c r="A120" t="s">
        <v>754</v>
      </c>
      <c r="B120">
        <v>24</v>
      </c>
      <c r="D120"/>
      <c r="E120"/>
      <c r="F120"/>
      <c r="G120"/>
      <c r="H120"/>
    </row>
    <row r="121" spans="1:8" x14ac:dyDescent="0.3">
      <c r="A121" t="s">
        <v>755</v>
      </c>
      <c r="B121">
        <v>15</v>
      </c>
      <c r="D121"/>
      <c r="E121"/>
      <c r="F121"/>
      <c r="G121"/>
      <c r="H121"/>
    </row>
    <row r="122" spans="1:8" x14ac:dyDescent="0.3">
      <c r="A122" t="s">
        <v>756</v>
      </c>
      <c r="B122">
        <v>2</v>
      </c>
      <c r="D122"/>
      <c r="E122"/>
      <c r="F122"/>
      <c r="G122"/>
      <c r="H122"/>
    </row>
    <row r="123" spans="1:8" x14ac:dyDescent="0.3">
      <c r="A123" t="s">
        <v>757</v>
      </c>
      <c r="B123">
        <v>1</v>
      </c>
      <c r="D123"/>
      <c r="E123"/>
      <c r="F123"/>
      <c r="G123"/>
      <c r="H123"/>
    </row>
    <row r="124" spans="1:8" x14ac:dyDescent="0.3">
      <c r="A124" t="s">
        <v>758</v>
      </c>
      <c r="B124">
        <v>3</v>
      </c>
      <c r="D124"/>
      <c r="E124"/>
      <c r="F124"/>
      <c r="G124"/>
      <c r="H124"/>
    </row>
    <row r="125" spans="1:8" x14ac:dyDescent="0.3">
      <c r="A125" t="s">
        <v>759</v>
      </c>
      <c r="B125">
        <v>3</v>
      </c>
      <c r="D125"/>
      <c r="E125"/>
      <c r="F125"/>
      <c r="G125"/>
      <c r="H125"/>
    </row>
    <row r="126" spans="1:8" x14ac:dyDescent="0.3">
      <c r="A126" t="s">
        <v>760</v>
      </c>
      <c r="B126">
        <v>1</v>
      </c>
      <c r="D126"/>
      <c r="E126"/>
      <c r="F126"/>
      <c r="G126"/>
      <c r="H126"/>
    </row>
    <row r="127" spans="1:8" x14ac:dyDescent="0.3">
      <c r="A127" t="s">
        <v>761</v>
      </c>
      <c r="B127">
        <v>10</v>
      </c>
      <c r="D127"/>
      <c r="E127"/>
      <c r="F127"/>
      <c r="G127"/>
      <c r="H127"/>
    </row>
    <row r="128" spans="1:8" x14ac:dyDescent="0.3">
      <c r="A128" t="s">
        <v>762</v>
      </c>
      <c r="D128">
        <v>30</v>
      </c>
      <c r="E128"/>
      <c r="F128"/>
      <c r="G128"/>
      <c r="H128"/>
    </row>
    <row r="129" spans="1:8" x14ac:dyDescent="0.3">
      <c r="A129" t="s">
        <v>763</v>
      </c>
      <c r="D129"/>
      <c r="E129"/>
      <c r="F129">
        <v>30</v>
      </c>
      <c r="G129"/>
      <c r="H129"/>
    </row>
    <row r="130" spans="1:8" x14ac:dyDescent="0.3">
      <c r="A130" t="s">
        <v>764</v>
      </c>
      <c r="D130"/>
      <c r="E130"/>
      <c r="F130">
        <v>1</v>
      </c>
      <c r="G130"/>
      <c r="H130"/>
    </row>
    <row r="131" spans="1:8" x14ac:dyDescent="0.3">
      <c r="A131" t="s">
        <v>765</v>
      </c>
      <c r="D131"/>
      <c r="E131"/>
      <c r="F131">
        <v>3</v>
      </c>
      <c r="G131"/>
      <c r="H131"/>
    </row>
    <row r="132" spans="1:8" x14ac:dyDescent="0.3">
      <c r="A132" t="s">
        <v>766</v>
      </c>
      <c r="D132"/>
      <c r="E132"/>
      <c r="F132">
        <v>30</v>
      </c>
      <c r="G132"/>
      <c r="H132"/>
    </row>
    <row r="133" spans="1:8" x14ac:dyDescent="0.3">
      <c r="A133" t="s">
        <v>767</v>
      </c>
      <c r="D133"/>
      <c r="E133"/>
      <c r="F133">
        <v>1</v>
      </c>
      <c r="G133"/>
      <c r="H133"/>
    </row>
    <row r="134" spans="1:8" x14ac:dyDescent="0.3">
      <c r="A134" t="s">
        <v>768</v>
      </c>
      <c r="D134"/>
      <c r="E134"/>
      <c r="F134">
        <v>1</v>
      </c>
      <c r="G134"/>
      <c r="H134"/>
    </row>
    <row r="135" spans="1:8" x14ac:dyDescent="0.3">
      <c r="A135" t="s">
        <v>769</v>
      </c>
      <c r="D135"/>
      <c r="E135"/>
      <c r="F135">
        <v>1</v>
      </c>
      <c r="G135"/>
      <c r="H135"/>
    </row>
    <row r="136" spans="1:8" x14ac:dyDescent="0.3">
      <c r="A136" t="s">
        <v>770</v>
      </c>
      <c r="D136"/>
      <c r="E136"/>
      <c r="F136">
        <v>2</v>
      </c>
      <c r="G136"/>
      <c r="H136"/>
    </row>
    <row r="137" spans="1:8" x14ac:dyDescent="0.3">
      <c r="A137" t="s">
        <v>771</v>
      </c>
      <c r="D137"/>
      <c r="E137"/>
      <c r="F137">
        <v>5</v>
      </c>
      <c r="G137"/>
      <c r="H137"/>
    </row>
    <row r="138" spans="1:8" x14ac:dyDescent="0.3">
      <c r="A138" t="s">
        <v>772</v>
      </c>
      <c r="D138"/>
      <c r="E138"/>
      <c r="F138">
        <v>3</v>
      </c>
      <c r="G138"/>
      <c r="H138"/>
    </row>
    <row r="139" spans="1:8" x14ac:dyDescent="0.3">
      <c r="A139" t="s">
        <v>773</v>
      </c>
      <c r="D139"/>
      <c r="E139"/>
      <c r="F139">
        <v>8</v>
      </c>
      <c r="G139"/>
      <c r="H139"/>
    </row>
    <row r="140" spans="1:8" x14ac:dyDescent="0.3">
      <c r="A140" t="s">
        <v>774</v>
      </c>
      <c r="D140"/>
      <c r="E140"/>
      <c r="F140">
        <v>1</v>
      </c>
      <c r="G140"/>
      <c r="H140"/>
    </row>
    <row r="141" spans="1:8" x14ac:dyDescent="0.3">
      <c r="A141" t="s">
        <v>775</v>
      </c>
      <c r="D141"/>
      <c r="E141">
        <v>30</v>
      </c>
      <c r="F141"/>
      <c r="G141"/>
      <c r="H141"/>
    </row>
    <row r="142" spans="1:8" x14ac:dyDescent="0.3">
      <c r="A142" t="s">
        <v>776</v>
      </c>
      <c r="D142"/>
      <c r="E142"/>
      <c r="F142"/>
      <c r="G142">
        <v>3</v>
      </c>
      <c r="H142"/>
    </row>
    <row r="143" spans="1:8" x14ac:dyDescent="0.3">
      <c r="A143" t="s">
        <v>777</v>
      </c>
      <c r="D143"/>
      <c r="E143"/>
      <c r="F143"/>
      <c r="G143">
        <v>5</v>
      </c>
      <c r="H143"/>
    </row>
    <row r="144" spans="1:8" x14ac:dyDescent="0.3">
      <c r="A144" t="s">
        <v>778</v>
      </c>
      <c r="D144"/>
      <c r="E144"/>
      <c r="F144"/>
      <c r="G144">
        <v>5</v>
      </c>
      <c r="H144"/>
    </row>
    <row r="145" spans="1:8" x14ac:dyDescent="0.3">
      <c r="A145" t="s">
        <v>779</v>
      </c>
      <c r="D145"/>
      <c r="E145"/>
      <c r="F145"/>
      <c r="G145">
        <v>20</v>
      </c>
      <c r="H145"/>
    </row>
    <row r="146" spans="1:8" x14ac:dyDescent="0.3">
      <c r="A146" t="s">
        <v>780</v>
      </c>
      <c r="D146"/>
      <c r="E146"/>
      <c r="F146"/>
      <c r="G146">
        <v>1</v>
      </c>
      <c r="H146"/>
    </row>
    <row r="147" spans="1:8" x14ac:dyDescent="0.3">
      <c r="A147" t="s">
        <v>781</v>
      </c>
      <c r="D147"/>
      <c r="E147"/>
      <c r="F147"/>
      <c r="G147">
        <v>15</v>
      </c>
      <c r="H147"/>
    </row>
    <row r="148" spans="1:8" x14ac:dyDescent="0.3">
      <c r="A148" t="s">
        <v>782</v>
      </c>
      <c r="D148"/>
      <c r="E148"/>
      <c r="F148"/>
      <c r="G148">
        <v>10</v>
      </c>
      <c r="H148"/>
    </row>
    <row r="149" spans="1:8" x14ac:dyDescent="0.3">
      <c r="A149" t="s">
        <v>783</v>
      </c>
      <c r="D149"/>
      <c r="E149"/>
      <c r="F149"/>
      <c r="G149">
        <v>35</v>
      </c>
      <c r="H149"/>
    </row>
    <row r="150" spans="1:8" x14ac:dyDescent="0.3">
      <c r="A150" t="s">
        <v>784</v>
      </c>
      <c r="D150"/>
      <c r="E150"/>
      <c r="F150"/>
      <c r="G150">
        <v>15</v>
      </c>
      <c r="H150"/>
    </row>
    <row r="151" spans="1:8" x14ac:dyDescent="0.3">
      <c r="A151" t="s">
        <v>785</v>
      </c>
      <c r="D151"/>
      <c r="E151"/>
      <c r="F151"/>
      <c r="G151">
        <v>30</v>
      </c>
      <c r="H151"/>
    </row>
    <row r="152" spans="1:8" x14ac:dyDescent="0.3">
      <c r="A152" t="s">
        <v>786</v>
      </c>
      <c r="B152">
        <v>15</v>
      </c>
      <c r="D152"/>
      <c r="E152"/>
      <c r="F152"/>
      <c r="G152"/>
      <c r="H152"/>
    </row>
    <row r="153" spans="1:8" x14ac:dyDescent="0.3">
      <c r="A153" t="s">
        <v>787</v>
      </c>
      <c r="B153">
        <v>5</v>
      </c>
      <c r="D153"/>
      <c r="E153"/>
      <c r="F153"/>
      <c r="G153"/>
      <c r="H153"/>
    </row>
    <row r="154" spans="1:8" x14ac:dyDescent="0.3">
      <c r="A154" t="s">
        <v>788</v>
      </c>
      <c r="B154">
        <v>1</v>
      </c>
      <c r="D154"/>
      <c r="E154"/>
      <c r="F154"/>
      <c r="G154"/>
      <c r="H154"/>
    </row>
    <row r="155" spans="1:8" x14ac:dyDescent="0.3">
      <c r="A155" t="s">
        <v>789</v>
      </c>
      <c r="B155">
        <v>2</v>
      </c>
      <c r="D155"/>
      <c r="E155"/>
      <c r="F155"/>
      <c r="G155"/>
      <c r="H155"/>
    </row>
    <row r="156" spans="1:8" x14ac:dyDescent="0.3">
      <c r="A156" t="s">
        <v>790</v>
      </c>
      <c r="D156"/>
      <c r="E156"/>
      <c r="F156">
        <v>15</v>
      </c>
      <c r="G156"/>
      <c r="H156"/>
    </row>
    <row r="157" spans="1:8" x14ac:dyDescent="0.3">
      <c r="A157" t="s">
        <v>791</v>
      </c>
      <c r="D157"/>
      <c r="E157"/>
      <c r="F157">
        <v>2</v>
      </c>
      <c r="G157"/>
      <c r="H157"/>
    </row>
    <row r="158" spans="1:8" x14ac:dyDescent="0.3">
      <c r="A158" t="s">
        <v>792</v>
      </c>
      <c r="D158"/>
      <c r="E158"/>
      <c r="F158">
        <v>3</v>
      </c>
      <c r="G158"/>
      <c r="H158"/>
    </row>
    <row r="159" spans="1:8" x14ac:dyDescent="0.3">
      <c r="A159" t="s">
        <v>793</v>
      </c>
      <c r="D159"/>
      <c r="E159"/>
      <c r="F159">
        <v>2</v>
      </c>
      <c r="G159"/>
      <c r="H159"/>
    </row>
    <row r="160" spans="1:8" x14ac:dyDescent="0.3">
      <c r="A160" t="s">
        <v>794</v>
      </c>
      <c r="D160"/>
      <c r="E160"/>
      <c r="F160">
        <v>11</v>
      </c>
      <c r="G160"/>
      <c r="H160"/>
    </row>
    <row r="161" spans="1:8" x14ac:dyDescent="0.3">
      <c r="A161" t="s">
        <v>795</v>
      </c>
      <c r="D161"/>
      <c r="E161"/>
      <c r="F161">
        <v>2</v>
      </c>
      <c r="G161"/>
      <c r="H161"/>
    </row>
    <row r="162" spans="1:8" x14ac:dyDescent="0.3">
      <c r="A162" t="s">
        <v>796</v>
      </c>
      <c r="D162"/>
      <c r="E162"/>
      <c r="F162">
        <v>15</v>
      </c>
      <c r="G162"/>
      <c r="H162"/>
    </row>
    <row r="163" spans="1:8" x14ac:dyDescent="0.3">
      <c r="A163" t="s">
        <v>797</v>
      </c>
      <c r="D163">
        <v>15</v>
      </c>
      <c r="E163"/>
      <c r="F163"/>
      <c r="G163"/>
      <c r="H163"/>
    </row>
    <row r="164" spans="1:8" x14ac:dyDescent="0.3">
      <c r="A164" t="s">
        <v>798</v>
      </c>
      <c r="D164">
        <v>4</v>
      </c>
      <c r="E164"/>
      <c r="F164"/>
      <c r="G164"/>
      <c r="H164"/>
    </row>
    <row r="165" spans="1:8" x14ac:dyDescent="0.3">
      <c r="A165" t="s">
        <v>799</v>
      </c>
      <c r="D165">
        <v>1</v>
      </c>
      <c r="E165"/>
      <c r="F165"/>
      <c r="G165"/>
      <c r="H165"/>
    </row>
    <row r="166" spans="1:8" x14ac:dyDescent="0.3">
      <c r="A166" t="s">
        <v>800</v>
      </c>
      <c r="D166">
        <v>1</v>
      </c>
      <c r="E166"/>
      <c r="F166"/>
      <c r="G166"/>
      <c r="H166"/>
    </row>
    <row r="167" spans="1:8" x14ac:dyDescent="0.3">
      <c r="A167" t="s">
        <v>801</v>
      </c>
      <c r="D167">
        <v>2</v>
      </c>
      <c r="E167"/>
      <c r="F167"/>
      <c r="G167"/>
      <c r="H167"/>
    </row>
    <row r="168" spans="1:8" x14ac:dyDescent="0.3">
      <c r="A168" t="s">
        <v>802</v>
      </c>
      <c r="D168"/>
      <c r="E168">
        <v>8</v>
      </c>
      <c r="F168"/>
      <c r="G168"/>
      <c r="H168"/>
    </row>
    <row r="169" spans="1:8" x14ac:dyDescent="0.3">
      <c r="A169" t="s">
        <v>803</v>
      </c>
      <c r="D169"/>
      <c r="E169">
        <v>2</v>
      </c>
      <c r="F169"/>
      <c r="G169"/>
      <c r="H169"/>
    </row>
    <row r="170" spans="1:8" x14ac:dyDescent="0.3">
      <c r="A170" t="s">
        <v>804</v>
      </c>
      <c r="D170"/>
      <c r="E170">
        <v>1</v>
      </c>
      <c r="F170"/>
      <c r="G170"/>
      <c r="H170"/>
    </row>
    <row r="171" spans="1:8" x14ac:dyDescent="0.3">
      <c r="A171" t="s">
        <v>805</v>
      </c>
      <c r="D171"/>
      <c r="E171">
        <v>2</v>
      </c>
      <c r="F171"/>
      <c r="G171"/>
      <c r="H171"/>
    </row>
    <row r="172" spans="1:8" x14ac:dyDescent="0.3">
      <c r="A172" t="s">
        <v>806</v>
      </c>
      <c r="D172"/>
      <c r="E172">
        <v>7</v>
      </c>
      <c r="F172"/>
      <c r="G172"/>
      <c r="H172"/>
    </row>
    <row r="173" spans="1:8" x14ac:dyDescent="0.3">
      <c r="A173" t="s">
        <v>807</v>
      </c>
      <c r="D173"/>
      <c r="E173">
        <v>1</v>
      </c>
      <c r="F173"/>
      <c r="G173"/>
      <c r="H173"/>
    </row>
    <row r="174" spans="1:8" x14ac:dyDescent="0.3">
      <c r="A174" t="s">
        <v>808</v>
      </c>
      <c r="D174"/>
      <c r="E174">
        <v>6</v>
      </c>
      <c r="F174"/>
      <c r="G174"/>
      <c r="H174"/>
    </row>
    <row r="175" spans="1:8" x14ac:dyDescent="0.3">
      <c r="A175" t="s">
        <v>809</v>
      </c>
      <c r="D175"/>
      <c r="E175">
        <v>1</v>
      </c>
      <c r="F175"/>
      <c r="G175"/>
      <c r="H175"/>
    </row>
    <row r="176" spans="1:8" x14ac:dyDescent="0.3">
      <c r="A176" t="s">
        <v>810</v>
      </c>
      <c r="D176"/>
      <c r="E176">
        <v>2</v>
      </c>
      <c r="F176"/>
      <c r="G176"/>
      <c r="H176"/>
    </row>
    <row r="177" spans="1:8" x14ac:dyDescent="0.3">
      <c r="A177" t="s">
        <v>811</v>
      </c>
      <c r="D177"/>
      <c r="E177">
        <v>2</v>
      </c>
      <c r="F177"/>
      <c r="G177"/>
      <c r="H177"/>
    </row>
    <row r="178" spans="1:8" x14ac:dyDescent="0.3">
      <c r="A178" t="s">
        <v>812</v>
      </c>
      <c r="D178"/>
      <c r="E178"/>
      <c r="F178"/>
      <c r="G178">
        <v>30</v>
      </c>
      <c r="H178"/>
    </row>
    <row r="179" spans="1:8" x14ac:dyDescent="0.3">
      <c r="A179" t="s">
        <v>813</v>
      </c>
      <c r="D179"/>
      <c r="E179"/>
      <c r="F179"/>
      <c r="G179">
        <v>30</v>
      </c>
      <c r="H179"/>
    </row>
    <row r="180" spans="1:8" x14ac:dyDescent="0.3">
      <c r="A180" t="s">
        <v>814</v>
      </c>
      <c r="B180">
        <v>10</v>
      </c>
      <c r="D180"/>
      <c r="E180"/>
      <c r="F180"/>
      <c r="G180"/>
      <c r="H180"/>
    </row>
    <row r="181" spans="1:8" x14ac:dyDescent="0.3">
      <c r="A181" t="s">
        <v>815</v>
      </c>
      <c r="D181"/>
      <c r="E181"/>
      <c r="F181">
        <v>110</v>
      </c>
      <c r="G181"/>
      <c r="H181"/>
    </row>
    <row r="182" spans="1:8" x14ac:dyDescent="0.3">
      <c r="A182" t="s">
        <v>816</v>
      </c>
      <c r="D182"/>
      <c r="E182">
        <v>2</v>
      </c>
      <c r="F182"/>
      <c r="G182"/>
      <c r="H182"/>
    </row>
    <row r="183" spans="1:8" x14ac:dyDescent="0.3">
      <c r="A183" t="s">
        <v>817</v>
      </c>
      <c r="B183">
        <v>50</v>
      </c>
      <c r="D183"/>
      <c r="E183"/>
      <c r="F183"/>
      <c r="G183"/>
      <c r="H183"/>
    </row>
    <row r="184" spans="1:8" x14ac:dyDescent="0.3">
      <c r="A184" t="s">
        <v>818</v>
      </c>
      <c r="B184">
        <v>30</v>
      </c>
      <c r="D184"/>
      <c r="E184"/>
      <c r="F184"/>
      <c r="G184"/>
      <c r="H184"/>
    </row>
    <row r="185" spans="1:8" x14ac:dyDescent="0.3">
      <c r="A185" t="s">
        <v>819</v>
      </c>
      <c r="B185">
        <v>2</v>
      </c>
      <c r="D185"/>
      <c r="E185"/>
      <c r="F185"/>
      <c r="G185"/>
      <c r="H185"/>
    </row>
    <row r="186" spans="1:8" x14ac:dyDescent="0.3">
      <c r="A186" t="s">
        <v>820</v>
      </c>
      <c r="D186"/>
      <c r="E186">
        <v>1</v>
      </c>
      <c r="F186"/>
      <c r="G186"/>
      <c r="H186"/>
    </row>
    <row r="187" spans="1:8" x14ac:dyDescent="0.3">
      <c r="A187" t="s">
        <v>821</v>
      </c>
      <c r="D187"/>
      <c r="E187">
        <v>2</v>
      </c>
      <c r="F187"/>
      <c r="G187"/>
      <c r="H187"/>
    </row>
    <row r="188" spans="1:8" x14ac:dyDescent="0.3">
      <c r="A188" t="s">
        <v>822</v>
      </c>
      <c r="D188"/>
      <c r="E188">
        <v>1</v>
      </c>
      <c r="F188"/>
      <c r="G188"/>
      <c r="H188"/>
    </row>
    <row r="189" spans="1:8" x14ac:dyDescent="0.3">
      <c r="A189" t="s">
        <v>823</v>
      </c>
      <c r="D189"/>
      <c r="E189"/>
      <c r="F189"/>
      <c r="G189">
        <v>2</v>
      </c>
      <c r="H189"/>
    </row>
    <row r="190" spans="1:8" x14ac:dyDescent="0.3">
      <c r="A190" t="s">
        <v>824</v>
      </c>
      <c r="D190"/>
      <c r="E190"/>
      <c r="F190"/>
      <c r="G190">
        <v>2</v>
      </c>
      <c r="H190"/>
    </row>
    <row r="191" spans="1:8" x14ac:dyDescent="0.3">
      <c r="A191" t="s">
        <v>825</v>
      </c>
      <c r="D191"/>
      <c r="E191"/>
      <c r="F191">
        <v>1</v>
      </c>
      <c r="G191"/>
      <c r="H191"/>
    </row>
    <row r="192" spans="1:8" x14ac:dyDescent="0.3">
      <c r="A192" t="s">
        <v>826</v>
      </c>
      <c r="D192"/>
      <c r="E192">
        <v>1</v>
      </c>
      <c r="F192"/>
      <c r="G192"/>
      <c r="H192"/>
    </row>
    <row r="193" spans="1:8" x14ac:dyDescent="0.3">
      <c r="A193" t="s">
        <v>827</v>
      </c>
      <c r="B193">
        <v>2</v>
      </c>
      <c r="D193"/>
      <c r="E193"/>
      <c r="F193"/>
      <c r="G193"/>
      <c r="H193"/>
    </row>
    <row r="194" spans="1:8" x14ac:dyDescent="0.3">
      <c r="A194" t="s">
        <v>828</v>
      </c>
      <c r="D194"/>
      <c r="E194">
        <v>1</v>
      </c>
      <c r="F194"/>
      <c r="G194"/>
      <c r="H194"/>
    </row>
    <row r="195" spans="1:8" x14ac:dyDescent="0.3">
      <c r="A195" t="s">
        <v>829</v>
      </c>
      <c r="D195"/>
      <c r="E195">
        <v>1</v>
      </c>
      <c r="F195"/>
      <c r="G195"/>
      <c r="H195"/>
    </row>
    <row r="196" spans="1:8" x14ac:dyDescent="0.3">
      <c r="A196" t="s">
        <v>830</v>
      </c>
      <c r="D196"/>
      <c r="E196">
        <v>4</v>
      </c>
      <c r="F196"/>
      <c r="G196"/>
      <c r="H196"/>
    </row>
    <row r="197" spans="1:8" x14ac:dyDescent="0.3">
      <c r="A197" t="s">
        <v>831</v>
      </c>
      <c r="D197"/>
      <c r="E197"/>
      <c r="F197"/>
      <c r="G197">
        <v>3</v>
      </c>
      <c r="H197"/>
    </row>
    <row r="198" spans="1:8" x14ac:dyDescent="0.3">
      <c r="A198" t="s">
        <v>832</v>
      </c>
      <c r="D198"/>
      <c r="E198"/>
      <c r="F198">
        <v>2</v>
      </c>
      <c r="G198"/>
      <c r="H198"/>
    </row>
    <row r="199" spans="1:8" x14ac:dyDescent="0.3">
      <c r="A199" t="s">
        <v>833</v>
      </c>
      <c r="B199">
        <v>8</v>
      </c>
      <c r="D199"/>
      <c r="E199"/>
      <c r="F199"/>
      <c r="G199"/>
      <c r="H199"/>
    </row>
    <row r="200" spans="1:8" x14ac:dyDescent="0.3">
      <c r="A200" t="s">
        <v>834</v>
      </c>
      <c r="D200"/>
      <c r="E200">
        <v>1</v>
      </c>
      <c r="F200"/>
      <c r="G200"/>
      <c r="H200"/>
    </row>
    <row r="201" spans="1:8" x14ac:dyDescent="0.3">
      <c r="A201" t="s">
        <v>835</v>
      </c>
      <c r="D201"/>
      <c r="E201">
        <v>3</v>
      </c>
      <c r="F201"/>
      <c r="G201"/>
      <c r="H201"/>
    </row>
    <row r="202" spans="1:8" x14ac:dyDescent="0.3">
      <c r="A202" t="s">
        <v>836</v>
      </c>
      <c r="D202"/>
      <c r="E202"/>
      <c r="F202">
        <v>1</v>
      </c>
      <c r="G202"/>
      <c r="H202"/>
    </row>
    <row r="203" spans="1:8" x14ac:dyDescent="0.3">
      <c r="A203" t="s">
        <v>837</v>
      </c>
      <c r="D203"/>
      <c r="E203"/>
      <c r="F203">
        <v>1</v>
      </c>
      <c r="G203"/>
      <c r="H203"/>
    </row>
    <row r="204" spans="1:8" x14ac:dyDescent="0.3">
      <c r="A204" t="s">
        <v>838</v>
      </c>
      <c r="D204"/>
      <c r="E204"/>
      <c r="F204">
        <v>2</v>
      </c>
      <c r="G204"/>
      <c r="H204"/>
    </row>
    <row r="205" spans="1:8" x14ac:dyDescent="0.3">
      <c r="A205" t="s">
        <v>839</v>
      </c>
      <c r="D205"/>
      <c r="E205"/>
      <c r="F205">
        <v>1</v>
      </c>
      <c r="G205"/>
      <c r="H205"/>
    </row>
    <row r="206" spans="1:8" x14ac:dyDescent="0.3">
      <c r="A206" t="s">
        <v>840</v>
      </c>
      <c r="D206"/>
      <c r="E206"/>
      <c r="F206">
        <v>2</v>
      </c>
      <c r="G206"/>
      <c r="H206"/>
    </row>
    <row r="207" spans="1:8" x14ac:dyDescent="0.3">
      <c r="A207" t="s">
        <v>841</v>
      </c>
      <c r="D207"/>
      <c r="E207"/>
      <c r="F207">
        <v>2</v>
      </c>
      <c r="G207"/>
      <c r="H207"/>
    </row>
    <row r="208" spans="1:8" x14ac:dyDescent="0.3">
      <c r="A208" t="s">
        <v>842</v>
      </c>
      <c r="B208">
        <v>3</v>
      </c>
      <c r="D208"/>
      <c r="E208"/>
      <c r="F208"/>
      <c r="G208"/>
      <c r="H208"/>
    </row>
    <row r="209" spans="1:8" x14ac:dyDescent="0.3">
      <c r="A209" t="s">
        <v>843</v>
      </c>
      <c r="B209">
        <v>2</v>
      </c>
      <c r="D209"/>
      <c r="E209"/>
      <c r="F209"/>
      <c r="G209"/>
      <c r="H209"/>
    </row>
    <row r="210" spans="1:8" x14ac:dyDescent="0.3">
      <c r="A210" t="s">
        <v>844</v>
      </c>
      <c r="B210">
        <v>4</v>
      </c>
      <c r="D210"/>
      <c r="E210"/>
      <c r="F210"/>
      <c r="G210"/>
      <c r="H210"/>
    </row>
    <row r="211" spans="1:8" x14ac:dyDescent="0.3">
      <c r="A211" t="s">
        <v>845</v>
      </c>
      <c r="B211">
        <v>1</v>
      </c>
      <c r="D211"/>
      <c r="E211"/>
      <c r="F211"/>
      <c r="G211"/>
      <c r="H211"/>
    </row>
    <row r="212" spans="1:8" x14ac:dyDescent="0.3">
      <c r="A212" t="s">
        <v>846</v>
      </c>
      <c r="B212">
        <v>1</v>
      </c>
      <c r="D212"/>
      <c r="E212"/>
      <c r="F212"/>
      <c r="G212"/>
      <c r="H212"/>
    </row>
    <row r="213" spans="1:8" x14ac:dyDescent="0.3">
      <c r="A213" t="s">
        <v>847</v>
      </c>
      <c r="B213">
        <v>1</v>
      </c>
      <c r="D213"/>
      <c r="E213"/>
      <c r="F213"/>
      <c r="G213"/>
      <c r="H213"/>
    </row>
    <row r="214" spans="1:8" x14ac:dyDescent="0.3">
      <c r="A214" t="s">
        <v>848</v>
      </c>
      <c r="D214"/>
      <c r="E214">
        <v>3</v>
      </c>
      <c r="F214"/>
      <c r="G214"/>
      <c r="H214"/>
    </row>
    <row r="215" spans="1:8" x14ac:dyDescent="0.3">
      <c r="A215" t="s">
        <v>849</v>
      </c>
      <c r="D215"/>
      <c r="E215">
        <v>1</v>
      </c>
      <c r="F215"/>
      <c r="G215"/>
      <c r="H215"/>
    </row>
    <row r="216" spans="1:8" x14ac:dyDescent="0.3">
      <c r="A216" t="s">
        <v>850</v>
      </c>
      <c r="D216"/>
      <c r="E216">
        <v>1</v>
      </c>
      <c r="F216"/>
      <c r="G216"/>
      <c r="H216"/>
    </row>
    <row r="217" spans="1:8" x14ac:dyDescent="0.3">
      <c r="A217" t="s">
        <v>851</v>
      </c>
      <c r="D217"/>
      <c r="E217">
        <v>1</v>
      </c>
      <c r="F217"/>
      <c r="G217"/>
      <c r="H217"/>
    </row>
    <row r="218" spans="1:8" x14ac:dyDescent="0.3">
      <c r="A218" t="s">
        <v>852</v>
      </c>
      <c r="D218"/>
      <c r="E218"/>
      <c r="F218"/>
      <c r="G218">
        <v>1</v>
      </c>
      <c r="H218"/>
    </row>
    <row r="219" spans="1:8" x14ac:dyDescent="0.3">
      <c r="A219" t="s">
        <v>853</v>
      </c>
      <c r="D219"/>
      <c r="E219"/>
      <c r="F219"/>
      <c r="G219">
        <v>5</v>
      </c>
      <c r="H219"/>
    </row>
    <row r="220" spans="1:8" x14ac:dyDescent="0.3">
      <c r="A220" t="s">
        <v>854</v>
      </c>
      <c r="D220"/>
      <c r="E220"/>
      <c r="F220"/>
      <c r="G220">
        <v>1</v>
      </c>
      <c r="H220"/>
    </row>
    <row r="221" spans="1:8" x14ac:dyDescent="0.3">
      <c r="A221" t="s">
        <v>855</v>
      </c>
      <c r="D221"/>
      <c r="E221"/>
      <c r="F221">
        <v>4</v>
      </c>
      <c r="G221"/>
      <c r="H221"/>
    </row>
    <row r="222" spans="1:8" x14ac:dyDescent="0.3">
      <c r="A222" t="s">
        <v>856</v>
      </c>
      <c r="D222"/>
      <c r="E222"/>
      <c r="F222">
        <v>1</v>
      </c>
      <c r="G222"/>
      <c r="H222"/>
    </row>
    <row r="223" spans="1:8" x14ac:dyDescent="0.3">
      <c r="A223" t="s">
        <v>857</v>
      </c>
      <c r="D223"/>
      <c r="E223"/>
      <c r="F223">
        <v>2</v>
      </c>
      <c r="G223"/>
      <c r="H223"/>
    </row>
    <row r="224" spans="1:8" x14ac:dyDescent="0.3">
      <c r="A224" t="s">
        <v>858</v>
      </c>
      <c r="D224"/>
      <c r="E224"/>
      <c r="F224">
        <v>4</v>
      </c>
      <c r="G224"/>
      <c r="H224"/>
    </row>
    <row r="225" spans="1:8" x14ac:dyDescent="0.3">
      <c r="A225" t="s">
        <v>859</v>
      </c>
      <c r="D225"/>
      <c r="E225"/>
      <c r="F225">
        <v>1</v>
      </c>
      <c r="G225"/>
      <c r="H225"/>
    </row>
    <row r="226" spans="1:8" x14ac:dyDescent="0.3">
      <c r="A226" t="s">
        <v>860</v>
      </c>
      <c r="B226">
        <v>5</v>
      </c>
      <c r="D226"/>
      <c r="E226"/>
      <c r="F226"/>
      <c r="G226"/>
      <c r="H226"/>
    </row>
    <row r="227" spans="1:8" x14ac:dyDescent="0.3">
      <c r="A227" t="s">
        <v>861</v>
      </c>
      <c r="B227">
        <v>2</v>
      </c>
      <c r="D227"/>
      <c r="E227"/>
      <c r="F227"/>
      <c r="G227"/>
      <c r="H227"/>
    </row>
    <row r="228" spans="1:8" x14ac:dyDescent="0.3">
      <c r="A228" t="s">
        <v>862</v>
      </c>
      <c r="D228"/>
      <c r="E228"/>
      <c r="F228"/>
      <c r="G228">
        <v>3</v>
      </c>
      <c r="H228"/>
    </row>
    <row r="229" spans="1:8" x14ac:dyDescent="0.3">
      <c r="A229" t="s">
        <v>863</v>
      </c>
      <c r="D229"/>
      <c r="E229"/>
      <c r="F229"/>
      <c r="G229">
        <v>3</v>
      </c>
      <c r="H229"/>
    </row>
    <row r="230" spans="1:8" x14ac:dyDescent="0.3">
      <c r="A230" t="s">
        <v>864</v>
      </c>
      <c r="D230"/>
      <c r="E230">
        <v>1</v>
      </c>
      <c r="F230"/>
      <c r="G230"/>
      <c r="H230"/>
    </row>
    <row r="231" spans="1:8" x14ac:dyDescent="0.3">
      <c r="A231" t="s">
        <v>865</v>
      </c>
      <c r="D231"/>
      <c r="E231">
        <v>4</v>
      </c>
      <c r="F231"/>
      <c r="G231"/>
      <c r="H231"/>
    </row>
    <row r="232" spans="1:8" x14ac:dyDescent="0.3">
      <c r="A232" t="s">
        <v>866</v>
      </c>
      <c r="E232" s="568">
        <v>3</v>
      </c>
    </row>
    <row r="233" spans="1:8" x14ac:dyDescent="0.3">
      <c r="A233" t="s">
        <v>867</v>
      </c>
      <c r="E233" s="568">
        <v>3</v>
      </c>
    </row>
    <row r="234" spans="1:8" x14ac:dyDescent="0.3">
      <c r="A234" t="s">
        <v>868</v>
      </c>
      <c r="D234" s="568">
        <v>1</v>
      </c>
    </row>
    <row r="235" spans="1:8" x14ac:dyDescent="0.3">
      <c r="A235" t="s">
        <v>869</v>
      </c>
      <c r="B235">
        <v>1</v>
      </c>
    </row>
    <row r="236" spans="1:8" x14ac:dyDescent="0.3">
      <c r="A236" t="s">
        <v>870</v>
      </c>
      <c r="D236" s="568">
        <v>1</v>
      </c>
    </row>
    <row r="237" spans="1:8" x14ac:dyDescent="0.3">
      <c r="A237" t="s">
        <v>871</v>
      </c>
      <c r="B237">
        <v>1</v>
      </c>
    </row>
    <row r="238" spans="1:8" x14ac:dyDescent="0.3">
      <c r="A238" t="s">
        <v>872</v>
      </c>
      <c r="B238">
        <v>2</v>
      </c>
    </row>
    <row r="239" spans="1:8" x14ac:dyDescent="0.3">
      <c r="A239" t="s">
        <v>873</v>
      </c>
      <c r="B239">
        <v>1</v>
      </c>
    </row>
    <row r="240" spans="1:8" x14ac:dyDescent="0.3">
      <c r="A240" t="s">
        <v>874</v>
      </c>
      <c r="F240" s="568">
        <v>1</v>
      </c>
    </row>
    <row r="241" spans="1:7" x14ac:dyDescent="0.3">
      <c r="A241" t="s">
        <v>875</v>
      </c>
      <c r="F241" s="568">
        <v>5</v>
      </c>
    </row>
    <row r="242" spans="1:7" x14ac:dyDescent="0.3">
      <c r="A242" t="s">
        <v>876</v>
      </c>
      <c r="F242" s="568">
        <v>1</v>
      </c>
    </row>
    <row r="243" spans="1:7" x14ac:dyDescent="0.3">
      <c r="A243" t="s">
        <v>877</v>
      </c>
      <c r="F243" s="568">
        <v>5</v>
      </c>
    </row>
    <row r="244" spans="1:7" x14ac:dyDescent="0.3">
      <c r="A244" t="s">
        <v>878</v>
      </c>
      <c r="F244" s="568">
        <v>2</v>
      </c>
    </row>
    <row r="245" spans="1:7" x14ac:dyDescent="0.3">
      <c r="A245" t="s">
        <v>879</v>
      </c>
      <c r="F245" s="568">
        <v>2</v>
      </c>
    </row>
    <row r="246" spans="1:7" x14ac:dyDescent="0.3">
      <c r="A246" t="s">
        <v>880</v>
      </c>
      <c r="F246" s="568">
        <v>1</v>
      </c>
    </row>
    <row r="247" spans="1:7" x14ac:dyDescent="0.3">
      <c r="A247" t="s">
        <v>881</v>
      </c>
      <c r="G247" s="568">
        <v>10</v>
      </c>
    </row>
    <row r="248" spans="1:7" x14ac:dyDescent="0.3">
      <c r="A248" t="s">
        <v>882</v>
      </c>
      <c r="G248" s="568">
        <v>2</v>
      </c>
    </row>
    <row r="249" spans="1:7" x14ac:dyDescent="0.3">
      <c r="A249" t="s">
        <v>883</v>
      </c>
      <c r="G249" s="568">
        <v>3</v>
      </c>
    </row>
    <row r="250" spans="1:7" x14ac:dyDescent="0.3">
      <c r="A250" t="s">
        <v>884</v>
      </c>
      <c r="G250" s="568">
        <v>1</v>
      </c>
    </row>
    <row r="251" spans="1:7" x14ac:dyDescent="0.3">
      <c r="A251" t="s">
        <v>885</v>
      </c>
      <c r="D251" s="568">
        <v>1</v>
      </c>
    </row>
    <row r="252" spans="1:7" x14ac:dyDescent="0.3">
      <c r="A252" t="s">
        <v>886</v>
      </c>
      <c r="D252" s="568">
        <v>1</v>
      </c>
    </row>
    <row r="253" spans="1:7" x14ac:dyDescent="0.3">
      <c r="A253" t="s">
        <v>887</v>
      </c>
      <c r="E253" s="568">
        <v>2</v>
      </c>
    </row>
    <row r="254" spans="1:7" x14ac:dyDescent="0.3">
      <c r="A254" t="s">
        <v>888</v>
      </c>
      <c r="E254" s="568">
        <v>4</v>
      </c>
    </row>
    <row r="255" spans="1:7" x14ac:dyDescent="0.3">
      <c r="A255" t="s">
        <v>889</v>
      </c>
      <c r="F255" s="568">
        <v>2</v>
      </c>
    </row>
    <row r="256" spans="1:7" x14ac:dyDescent="0.3">
      <c r="A256" t="s">
        <v>890</v>
      </c>
      <c r="F256" s="568">
        <v>2</v>
      </c>
    </row>
    <row r="257" spans="1:7" x14ac:dyDescent="0.3">
      <c r="A257" t="s">
        <v>891</v>
      </c>
      <c r="F257" s="568">
        <v>2</v>
      </c>
    </row>
    <row r="258" spans="1:7" x14ac:dyDescent="0.3">
      <c r="A258" t="s">
        <v>892</v>
      </c>
      <c r="E258" s="568">
        <v>2</v>
      </c>
    </row>
    <row r="259" spans="1:7" x14ac:dyDescent="0.3">
      <c r="A259" t="s">
        <v>893</v>
      </c>
      <c r="E259" s="568">
        <v>1</v>
      </c>
    </row>
    <row r="260" spans="1:7" x14ac:dyDescent="0.3">
      <c r="A260" t="s">
        <v>894</v>
      </c>
      <c r="E260" s="568">
        <v>3</v>
      </c>
    </row>
    <row r="261" spans="1:7" x14ac:dyDescent="0.3">
      <c r="A261" t="s">
        <v>895</v>
      </c>
      <c r="E261" s="568">
        <v>2</v>
      </c>
    </row>
    <row r="262" spans="1:7" x14ac:dyDescent="0.3">
      <c r="A262" t="s">
        <v>896</v>
      </c>
      <c r="G262" s="568">
        <v>5</v>
      </c>
    </row>
    <row r="263" spans="1:7" x14ac:dyDescent="0.3">
      <c r="A263" t="s">
        <v>897</v>
      </c>
      <c r="G263" s="568">
        <v>5</v>
      </c>
    </row>
    <row r="264" spans="1:7" x14ac:dyDescent="0.3">
      <c r="A264" t="s">
        <v>898</v>
      </c>
      <c r="B264">
        <v>1</v>
      </c>
    </row>
    <row r="265" spans="1:7" x14ac:dyDescent="0.3">
      <c r="A265" t="s">
        <v>899</v>
      </c>
      <c r="E265" s="568">
        <v>5</v>
      </c>
    </row>
    <row r="266" spans="1:7" x14ac:dyDescent="0.3">
      <c r="A266" t="s">
        <v>900</v>
      </c>
      <c r="E266" s="568">
        <v>1</v>
      </c>
    </row>
    <row r="267" spans="1:7" x14ac:dyDescent="0.3">
      <c r="A267" t="s">
        <v>901</v>
      </c>
      <c r="E267" s="568">
        <v>4</v>
      </c>
    </row>
    <row r="268" spans="1:7" x14ac:dyDescent="0.3">
      <c r="A268" t="s">
        <v>902</v>
      </c>
      <c r="D268" s="568">
        <v>5</v>
      </c>
    </row>
    <row r="269" spans="1:7" x14ac:dyDescent="0.3">
      <c r="A269" t="s">
        <v>903</v>
      </c>
      <c r="F269" s="568">
        <v>1</v>
      </c>
    </row>
    <row r="270" spans="1:7" x14ac:dyDescent="0.3">
      <c r="A270" t="s">
        <v>904</v>
      </c>
      <c r="F270" s="568">
        <v>1</v>
      </c>
    </row>
    <row r="271" spans="1:7" x14ac:dyDescent="0.3">
      <c r="A271" t="s">
        <v>905</v>
      </c>
      <c r="G271" s="568">
        <v>5</v>
      </c>
    </row>
    <row r="272" spans="1:7" x14ac:dyDescent="0.3">
      <c r="A272" t="s">
        <v>906</v>
      </c>
      <c r="G272" s="568">
        <v>2</v>
      </c>
    </row>
    <row r="273" spans="1:7" x14ac:dyDescent="0.3">
      <c r="A273" t="s">
        <v>907</v>
      </c>
      <c r="G273" s="568">
        <v>1</v>
      </c>
    </row>
    <row r="274" spans="1:7" x14ac:dyDescent="0.3">
      <c r="A274" t="s">
        <v>908</v>
      </c>
      <c r="F274" s="568">
        <v>2</v>
      </c>
    </row>
    <row r="275" spans="1:7" x14ac:dyDescent="0.3">
      <c r="A275" t="s">
        <v>909</v>
      </c>
      <c r="E275" s="568">
        <v>10</v>
      </c>
    </row>
    <row r="276" spans="1:7" x14ac:dyDescent="0.3">
      <c r="A276" t="s">
        <v>910</v>
      </c>
      <c r="B276">
        <v>2</v>
      </c>
    </row>
    <row r="277" spans="1:7" x14ac:dyDescent="0.3">
      <c r="A277" t="s">
        <v>911</v>
      </c>
      <c r="D277" s="568">
        <v>1</v>
      </c>
    </row>
    <row r="278" spans="1:7" x14ac:dyDescent="0.3">
      <c r="A278" t="s">
        <v>912</v>
      </c>
      <c r="G278" s="568">
        <v>2</v>
      </c>
    </row>
    <row r="279" spans="1:7" x14ac:dyDescent="0.3">
      <c r="A279" t="s">
        <v>913</v>
      </c>
      <c r="G279" s="568">
        <v>2</v>
      </c>
    </row>
    <row r="280" spans="1:7" x14ac:dyDescent="0.3">
      <c r="A280" t="s">
        <v>914</v>
      </c>
      <c r="G280" s="568">
        <v>4</v>
      </c>
    </row>
    <row r="281" spans="1:7" x14ac:dyDescent="0.3">
      <c r="A281" t="s">
        <v>915</v>
      </c>
      <c r="G281" s="568">
        <v>2</v>
      </c>
    </row>
    <row r="282" spans="1:7" x14ac:dyDescent="0.3">
      <c r="A282" t="s">
        <v>916</v>
      </c>
      <c r="G282" s="568">
        <v>5</v>
      </c>
    </row>
    <row r="283" spans="1:7" x14ac:dyDescent="0.3">
      <c r="A283" t="s">
        <v>917</v>
      </c>
      <c r="G283" s="568">
        <v>2</v>
      </c>
    </row>
    <row r="284" spans="1:7" x14ac:dyDescent="0.3">
      <c r="A284" t="s">
        <v>918</v>
      </c>
      <c r="G284" s="568">
        <v>2</v>
      </c>
    </row>
    <row r="285" spans="1:7" x14ac:dyDescent="0.3">
      <c r="A285" t="s">
        <v>919</v>
      </c>
      <c r="E285" s="568">
        <v>2</v>
      </c>
    </row>
    <row r="286" spans="1:7" x14ac:dyDescent="0.3">
      <c r="A286" t="s">
        <v>920</v>
      </c>
      <c r="E286" s="568">
        <v>4</v>
      </c>
    </row>
    <row r="287" spans="1:7" x14ac:dyDescent="0.3">
      <c r="A287" t="s">
        <v>921</v>
      </c>
      <c r="E287" s="568">
        <v>2</v>
      </c>
    </row>
    <row r="288" spans="1:7" x14ac:dyDescent="0.3">
      <c r="A288" t="s">
        <v>922</v>
      </c>
      <c r="F288" s="568">
        <v>2</v>
      </c>
    </row>
    <row r="289" spans="1:7" x14ac:dyDescent="0.3">
      <c r="A289" t="s">
        <v>923</v>
      </c>
      <c r="F289" s="568">
        <v>2</v>
      </c>
    </row>
    <row r="290" spans="1:7" x14ac:dyDescent="0.3">
      <c r="A290" t="s">
        <v>924</v>
      </c>
      <c r="F290" s="568">
        <v>3</v>
      </c>
    </row>
    <row r="291" spans="1:7" x14ac:dyDescent="0.3">
      <c r="A291" t="s">
        <v>925</v>
      </c>
      <c r="F291" s="568">
        <v>2</v>
      </c>
    </row>
    <row r="292" spans="1:7" x14ac:dyDescent="0.3">
      <c r="A292" t="s">
        <v>926</v>
      </c>
      <c r="G292" s="568">
        <v>10</v>
      </c>
    </row>
    <row r="293" spans="1:7" x14ac:dyDescent="0.3">
      <c r="A293" t="s">
        <v>927</v>
      </c>
      <c r="D293" s="568">
        <v>1</v>
      </c>
    </row>
    <row r="294" spans="1:7" x14ac:dyDescent="0.3">
      <c r="A294" t="s">
        <v>928</v>
      </c>
      <c r="D294" s="568">
        <v>1</v>
      </c>
    </row>
    <row r="295" spans="1:7" x14ac:dyDescent="0.3">
      <c r="A295" t="s">
        <v>929</v>
      </c>
      <c r="B295">
        <v>2</v>
      </c>
    </row>
    <row r="296" spans="1:7" x14ac:dyDescent="0.3">
      <c r="A296" t="s">
        <v>930</v>
      </c>
      <c r="B296">
        <v>1</v>
      </c>
    </row>
    <row r="297" spans="1:7" x14ac:dyDescent="0.3">
      <c r="A297" t="s">
        <v>931</v>
      </c>
      <c r="B297">
        <v>2</v>
      </c>
    </row>
    <row r="298" spans="1:7" x14ac:dyDescent="0.3">
      <c r="A298" t="s">
        <v>932</v>
      </c>
      <c r="B298">
        <v>1</v>
      </c>
    </row>
    <row r="299" spans="1:7" x14ac:dyDescent="0.3">
      <c r="A299" t="s">
        <v>933</v>
      </c>
      <c r="B299">
        <v>1</v>
      </c>
    </row>
    <row r="300" spans="1:7" x14ac:dyDescent="0.3">
      <c r="A300" t="s">
        <v>934</v>
      </c>
      <c r="E300" s="568">
        <v>1</v>
      </c>
    </row>
    <row r="301" spans="1:7" x14ac:dyDescent="0.3">
      <c r="A301" t="s">
        <v>935</v>
      </c>
      <c r="F301" s="568">
        <v>1</v>
      </c>
    </row>
    <row r="302" spans="1:7" x14ac:dyDescent="0.3">
      <c r="A302" t="s">
        <v>936</v>
      </c>
      <c r="F302" s="568">
        <v>1</v>
      </c>
    </row>
    <row r="303" spans="1:7" x14ac:dyDescent="0.3">
      <c r="A303" t="s">
        <v>937</v>
      </c>
      <c r="F303" s="568">
        <v>5</v>
      </c>
    </row>
    <row r="304" spans="1:7" x14ac:dyDescent="0.3">
      <c r="A304" t="s">
        <v>938</v>
      </c>
      <c r="G304" s="568">
        <v>1</v>
      </c>
    </row>
    <row r="305" spans="1:7" x14ac:dyDescent="0.3">
      <c r="A305" t="s">
        <v>939</v>
      </c>
      <c r="G305" s="568">
        <v>10</v>
      </c>
    </row>
    <row r="306" spans="1:7" x14ac:dyDescent="0.3">
      <c r="A306" t="s">
        <v>940</v>
      </c>
      <c r="D306" s="568">
        <v>2</v>
      </c>
    </row>
    <row r="307" spans="1:7" x14ac:dyDescent="0.3">
      <c r="A307" t="s">
        <v>941</v>
      </c>
      <c r="D307" s="568">
        <v>2</v>
      </c>
    </row>
    <row r="308" spans="1:7" x14ac:dyDescent="0.3">
      <c r="A308" t="s">
        <v>942</v>
      </c>
      <c r="E308" s="568">
        <v>6</v>
      </c>
    </row>
    <row r="309" spans="1:7" x14ac:dyDescent="0.3">
      <c r="A309" t="s">
        <v>943</v>
      </c>
      <c r="E309" s="568">
        <v>2</v>
      </c>
    </row>
    <row r="310" spans="1:7" x14ac:dyDescent="0.3">
      <c r="A310" t="s">
        <v>944</v>
      </c>
      <c r="E310" s="568">
        <v>1</v>
      </c>
    </row>
    <row r="311" spans="1:7" x14ac:dyDescent="0.3">
      <c r="A311" t="s">
        <v>945</v>
      </c>
      <c r="E311" s="568">
        <v>2</v>
      </c>
    </row>
    <row r="312" spans="1:7" x14ac:dyDescent="0.3">
      <c r="A312" t="s">
        <v>326</v>
      </c>
      <c r="E312" s="568">
        <v>2</v>
      </c>
    </row>
    <row r="313" spans="1:7" x14ac:dyDescent="0.3">
      <c r="A313" t="s">
        <v>327</v>
      </c>
      <c r="E313" s="568">
        <v>1</v>
      </c>
    </row>
    <row r="314" spans="1:7" x14ac:dyDescent="0.3">
      <c r="A314" t="s">
        <v>328</v>
      </c>
      <c r="E314" s="568">
        <v>1</v>
      </c>
    </row>
    <row r="315" spans="1:7" x14ac:dyDescent="0.3">
      <c r="A315" t="s">
        <v>329</v>
      </c>
      <c r="E315" s="568">
        <v>1</v>
      </c>
    </row>
    <row r="316" spans="1:7" x14ac:dyDescent="0.3">
      <c r="A316" t="s">
        <v>330</v>
      </c>
      <c r="B316">
        <v>1</v>
      </c>
    </row>
    <row r="317" spans="1:7" x14ac:dyDescent="0.3">
      <c r="A317" t="s">
        <v>946</v>
      </c>
      <c r="B317">
        <v>1</v>
      </c>
    </row>
    <row r="318" spans="1:7" x14ac:dyDescent="0.3">
      <c r="A318" t="s">
        <v>331</v>
      </c>
      <c r="B318">
        <v>2</v>
      </c>
    </row>
    <row r="319" spans="1:7" x14ac:dyDescent="0.3">
      <c r="A319" t="s">
        <v>332</v>
      </c>
      <c r="G319" s="568">
        <v>15</v>
      </c>
    </row>
    <row r="320" spans="1:7" x14ac:dyDescent="0.3">
      <c r="A320" t="s">
        <v>947</v>
      </c>
      <c r="E320" s="568">
        <v>1</v>
      </c>
    </row>
    <row r="321" spans="1:6" x14ac:dyDescent="0.3">
      <c r="A321" t="s">
        <v>333</v>
      </c>
      <c r="E321" s="568">
        <v>1</v>
      </c>
    </row>
    <row r="322" spans="1:6" x14ac:dyDescent="0.3">
      <c r="A322" t="s">
        <v>334</v>
      </c>
      <c r="E322" s="568">
        <v>2</v>
      </c>
    </row>
    <row r="323" spans="1:6" x14ac:dyDescent="0.3">
      <c r="A323" t="s">
        <v>335</v>
      </c>
      <c r="E323" s="568">
        <v>2</v>
      </c>
    </row>
    <row r="324" spans="1:6" x14ac:dyDescent="0.3">
      <c r="A324" t="s">
        <v>948</v>
      </c>
      <c r="D324" s="568">
        <v>2</v>
      </c>
    </row>
    <row r="325" spans="1:6" x14ac:dyDescent="0.3">
      <c r="A325" t="s">
        <v>949</v>
      </c>
      <c r="D325" s="568">
        <v>1</v>
      </c>
    </row>
    <row r="326" spans="1:6" x14ac:dyDescent="0.3">
      <c r="A326" t="s">
        <v>950</v>
      </c>
      <c r="F326" s="568">
        <v>2</v>
      </c>
    </row>
    <row r="327" spans="1:6" x14ac:dyDescent="0.3">
      <c r="A327" t="s">
        <v>336</v>
      </c>
      <c r="F327" s="568">
        <v>1</v>
      </c>
    </row>
    <row r="328" spans="1:6" x14ac:dyDescent="0.3">
      <c r="A328" t="s">
        <v>951</v>
      </c>
      <c r="F328" s="568">
        <v>1</v>
      </c>
    </row>
    <row r="329" spans="1:6" x14ac:dyDescent="0.3">
      <c r="A329" t="s">
        <v>952</v>
      </c>
      <c r="F329" s="568">
        <v>1</v>
      </c>
    </row>
    <row r="330" spans="1:6" x14ac:dyDescent="0.3">
      <c r="A330" t="s">
        <v>953</v>
      </c>
      <c r="F330" s="568">
        <v>1</v>
      </c>
    </row>
    <row r="331" spans="1:6" x14ac:dyDescent="0.3">
      <c r="A331" t="s">
        <v>954</v>
      </c>
      <c r="F331" s="568">
        <v>3</v>
      </c>
    </row>
    <row r="332" spans="1:6" x14ac:dyDescent="0.3">
      <c r="A332" t="s">
        <v>955</v>
      </c>
      <c r="B332">
        <v>30</v>
      </c>
    </row>
    <row r="333" spans="1:6" x14ac:dyDescent="0.3">
      <c r="A333" t="s">
        <v>956</v>
      </c>
      <c r="B333">
        <v>1</v>
      </c>
    </row>
    <row r="334" spans="1:6" x14ac:dyDescent="0.3">
      <c r="A334" t="s">
        <v>957</v>
      </c>
      <c r="B334">
        <v>1</v>
      </c>
    </row>
    <row r="335" spans="1:6" x14ac:dyDescent="0.3">
      <c r="A335" t="s">
        <v>958</v>
      </c>
      <c r="B335">
        <v>2</v>
      </c>
    </row>
    <row r="336" spans="1:6" x14ac:dyDescent="0.3">
      <c r="A336" t="s">
        <v>959</v>
      </c>
      <c r="E336" s="568">
        <v>2</v>
      </c>
    </row>
    <row r="337" spans="1:7" x14ac:dyDescent="0.3">
      <c r="A337" t="s">
        <v>960</v>
      </c>
      <c r="E337" s="568">
        <v>1</v>
      </c>
    </row>
    <row r="338" spans="1:7" x14ac:dyDescent="0.3">
      <c r="A338" t="s">
        <v>961</v>
      </c>
      <c r="E338" s="568">
        <v>2</v>
      </c>
    </row>
    <row r="339" spans="1:7" x14ac:dyDescent="0.3">
      <c r="A339" t="s">
        <v>962</v>
      </c>
      <c r="G339" s="568">
        <v>16</v>
      </c>
    </row>
    <row r="340" spans="1:7" x14ac:dyDescent="0.3">
      <c r="A340" t="s">
        <v>337</v>
      </c>
      <c r="G340" s="568">
        <v>2</v>
      </c>
    </row>
    <row r="341" spans="1:7" x14ac:dyDescent="0.3">
      <c r="A341" t="s">
        <v>963</v>
      </c>
      <c r="G341" s="568">
        <v>2</v>
      </c>
    </row>
    <row r="342" spans="1:7" x14ac:dyDescent="0.3">
      <c r="A342" t="s">
        <v>964</v>
      </c>
      <c r="F342" s="568">
        <v>5</v>
      </c>
    </row>
    <row r="343" spans="1:7" x14ac:dyDescent="0.3">
      <c r="A343" t="s">
        <v>965</v>
      </c>
      <c r="F343" s="568">
        <v>2</v>
      </c>
    </row>
    <row r="344" spans="1:7" x14ac:dyDescent="0.3">
      <c r="A344" t="s">
        <v>338</v>
      </c>
      <c r="F344" s="568">
        <v>6</v>
      </c>
    </row>
    <row r="345" spans="1:7" x14ac:dyDescent="0.3">
      <c r="A345" t="s">
        <v>339</v>
      </c>
      <c r="F345" s="568">
        <v>1</v>
      </c>
    </row>
    <row r="346" spans="1:7" x14ac:dyDescent="0.3">
      <c r="A346" t="s">
        <v>340</v>
      </c>
      <c r="F346" s="568">
        <v>2</v>
      </c>
    </row>
    <row r="347" spans="1:7" x14ac:dyDescent="0.3">
      <c r="A347" t="s">
        <v>966</v>
      </c>
      <c r="F347" s="568">
        <v>2</v>
      </c>
    </row>
    <row r="348" spans="1:7" x14ac:dyDescent="0.3">
      <c r="A348" t="s">
        <v>967</v>
      </c>
      <c r="F348" s="568">
        <v>6</v>
      </c>
    </row>
    <row r="349" spans="1:7" x14ac:dyDescent="0.3">
      <c r="A349" t="s">
        <v>341</v>
      </c>
      <c r="F349" s="568">
        <v>2</v>
      </c>
    </row>
    <row r="350" spans="1:7" x14ac:dyDescent="0.3">
      <c r="A350" t="s">
        <v>342</v>
      </c>
      <c r="D350" s="568">
        <v>3</v>
      </c>
    </row>
    <row r="351" spans="1:7" x14ac:dyDescent="0.3">
      <c r="A351" t="s">
        <v>968</v>
      </c>
      <c r="D351" s="568">
        <v>1</v>
      </c>
    </row>
    <row r="352" spans="1:7" x14ac:dyDescent="0.3">
      <c r="A352" t="s">
        <v>969</v>
      </c>
      <c r="B352">
        <v>35</v>
      </c>
    </row>
    <row r="353" spans="1:7" x14ac:dyDescent="0.3">
      <c r="A353" t="s">
        <v>343</v>
      </c>
      <c r="B353">
        <v>25</v>
      </c>
    </row>
    <row r="354" spans="1:7" x14ac:dyDescent="0.3">
      <c r="A354" t="s">
        <v>970</v>
      </c>
      <c r="B354">
        <v>2</v>
      </c>
    </row>
    <row r="355" spans="1:7" x14ac:dyDescent="0.3">
      <c r="A355" t="s">
        <v>971</v>
      </c>
      <c r="B355">
        <v>15</v>
      </c>
    </row>
    <row r="356" spans="1:7" x14ac:dyDescent="0.3">
      <c r="A356" t="s">
        <v>972</v>
      </c>
      <c r="B356">
        <v>3</v>
      </c>
    </row>
    <row r="357" spans="1:7" x14ac:dyDescent="0.3">
      <c r="A357" t="s">
        <v>973</v>
      </c>
      <c r="D357" s="568">
        <v>1</v>
      </c>
    </row>
    <row r="358" spans="1:7" x14ac:dyDescent="0.3">
      <c r="A358" t="s">
        <v>344</v>
      </c>
      <c r="F358" s="568">
        <v>1</v>
      </c>
    </row>
    <row r="359" spans="1:7" x14ac:dyDescent="0.3">
      <c r="A359" t="s">
        <v>345</v>
      </c>
      <c r="F359" s="568">
        <v>1</v>
      </c>
    </row>
    <row r="360" spans="1:7" x14ac:dyDescent="0.3">
      <c r="A360" t="s">
        <v>346</v>
      </c>
      <c r="F360" s="568">
        <v>2</v>
      </c>
    </row>
    <row r="361" spans="1:7" x14ac:dyDescent="0.3">
      <c r="A361" t="s">
        <v>347</v>
      </c>
      <c r="F361" s="568">
        <v>1</v>
      </c>
    </row>
    <row r="362" spans="1:7" x14ac:dyDescent="0.3">
      <c r="A362" t="s">
        <v>348</v>
      </c>
      <c r="G362" s="568">
        <v>3</v>
      </c>
    </row>
    <row r="363" spans="1:7" x14ac:dyDescent="0.3">
      <c r="A363" t="s">
        <v>349</v>
      </c>
      <c r="G363" s="568">
        <v>1</v>
      </c>
    </row>
    <row r="364" spans="1:7" x14ac:dyDescent="0.3">
      <c r="A364" t="s">
        <v>350</v>
      </c>
      <c r="G364" s="568">
        <v>1</v>
      </c>
    </row>
    <row r="365" spans="1:7" x14ac:dyDescent="0.3">
      <c r="A365" t="s">
        <v>351</v>
      </c>
      <c r="G365" s="568">
        <v>2</v>
      </c>
    </row>
    <row r="366" spans="1:7" x14ac:dyDescent="0.3">
      <c r="A366" t="s">
        <v>974</v>
      </c>
      <c r="E366" s="568">
        <v>2</v>
      </c>
    </row>
    <row r="367" spans="1:7" x14ac:dyDescent="0.3">
      <c r="A367" t="s">
        <v>352</v>
      </c>
      <c r="E367" s="568">
        <v>2</v>
      </c>
    </row>
    <row r="368" spans="1:7" x14ac:dyDescent="0.3">
      <c r="A368" t="s">
        <v>975</v>
      </c>
      <c r="D368" s="568">
        <v>30</v>
      </c>
    </row>
    <row r="369" spans="1:7" x14ac:dyDescent="0.3">
      <c r="A369" t="s">
        <v>976</v>
      </c>
      <c r="D369" s="568">
        <v>1</v>
      </c>
    </row>
    <row r="370" spans="1:7" x14ac:dyDescent="0.3">
      <c r="A370" t="s">
        <v>353</v>
      </c>
      <c r="B370">
        <v>3</v>
      </c>
    </row>
    <row r="371" spans="1:7" x14ac:dyDescent="0.3">
      <c r="A371" t="s">
        <v>977</v>
      </c>
      <c r="B371">
        <v>2</v>
      </c>
    </row>
    <row r="372" spans="1:7" x14ac:dyDescent="0.3">
      <c r="A372" t="s">
        <v>978</v>
      </c>
      <c r="B372">
        <v>2</v>
      </c>
    </row>
    <row r="373" spans="1:7" x14ac:dyDescent="0.3">
      <c r="A373" t="s">
        <v>354</v>
      </c>
      <c r="B373">
        <v>1</v>
      </c>
    </row>
    <row r="374" spans="1:7" x14ac:dyDescent="0.3">
      <c r="A374" t="s">
        <v>979</v>
      </c>
      <c r="C374">
        <v>3</v>
      </c>
    </row>
    <row r="375" spans="1:7" x14ac:dyDescent="0.3">
      <c r="A375" t="s">
        <v>355</v>
      </c>
      <c r="E375" s="568">
        <v>4</v>
      </c>
    </row>
    <row r="376" spans="1:7" x14ac:dyDescent="0.3">
      <c r="A376" t="s">
        <v>980</v>
      </c>
      <c r="D376" s="568">
        <v>15</v>
      </c>
    </row>
    <row r="377" spans="1:7" x14ac:dyDescent="0.3">
      <c r="A377" t="s">
        <v>981</v>
      </c>
      <c r="F377" s="568">
        <v>2</v>
      </c>
    </row>
    <row r="378" spans="1:7" x14ac:dyDescent="0.3">
      <c r="A378" t="s">
        <v>982</v>
      </c>
      <c r="F378" s="568">
        <v>2</v>
      </c>
    </row>
    <row r="379" spans="1:7" x14ac:dyDescent="0.3">
      <c r="A379" t="s">
        <v>356</v>
      </c>
      <c r="F379" s="568">
        <v>2</v>
      </c>
    </row>
    <row r="380" spans="1:7" x14ac:dyDescent="0.3">
      <c r="A380" t="s">
        <v>983</v>
      </c>
      <c r="D380" s="568">
        <v>0</v>
      </c>
      <c r="G380" s="568">
        <v>5</v>
      </c>
    </row>
    <row r="381" spans="1:7" x14ac:dyDescent="0.3">
      <c r="A381" t="s">
        <v>984</v>
      </c>
      <c r="F381" s="568">
        <v>0</v>
      </c>
      <c r="G381" s="568">
        <v>5</v>
      </c>
    </row>
    <row r="382" spans="1:7" x14ac:dyDescent="0.3">
      <c r="A382" t="s">
        <v>357</v>
      </c>
      <c r="E382" s="568">
        <v>0</v>
      </c>
      <c r="G382" s="568">
        <v>1</v>
      </c>
    </row>
    <row r="383" spans="1:7" x14ac:dyDescent="0.3">
      <c r="A383" t="s">
        <v>985</v>
      </c>
      <c r="G383" s="568">
        <v>1</v>
      </c>
    </row>
    <row r="384" spans="1:7" x14ac:dyDescent="0.3">
      <c r="A384" t="s">
        <v>358</v>
      </c>
      <c r="B384">
        <v>10</v>
      </c>
    </row>
    <row r="385" spans="1:6" x14ac:dyDescent="0.3">
      <c r="A385" t="s">
        <v>986</v>
      </c>
      <c r="B385">
        <v>1</v>
      </c>
    </row>
    <row r="386" spans="1:6" x14ac:dyDescent="0.3">
      <c r="A386" t="s">
        <v>987</v>
      </c>
      <c r="B386">
        <v>1</v>
      </c>
    </row>
    <row r="387" spans="1:6" x14ac:dyDescent="0.3">
      <c r="A387" t="s">
        <v>988</v>
      </c>
      <c r="E387" s="568">
        <v>2</v>
      </c>
    </row>
    <row r="388" spans="1:6" x14ac:dyDescent="0.3">
      <c r="A388" t="s">
        <v>989</v>
      </c>
      <c r="E388" s="568">
        <v>1</v>
      </c>
    </row>
    <row r="389" spans="1:6" x14ac:dyDescent="0.3">
      <c r="A389" t="s">
        <v>990</v>
      </c>
      <c r="E389" s="568">
        <v>1</v>
      </c>
    </row>
    <row r="390" spans="1:6" x14ac:dyDescent="0.3">
      <c r="A390" t="s">
        <v>991</v>
      </c>
      <c r="E390" s="568">
        <v>3</v>
      </c>
    </row>
    <row r="391" spans="1:6" x14ac:dyDescent="0.3">
      <c r="A391" t="s">
        <v>992</v>
      </c>
      <c r="E391" s="568">
        <v>1</v>
      </c>
    </row>
    <row r="392" spans="1:6" x14ac:dyDescent="0.3">
      <c r="A392" t="s">
        <v>359</v>
      </c>
      <c r="E392" s="568">
        <v>3</v>
      </c>
    </row>
    <row r="393" spans="1:6" x14ac:dyDescent="0.3">
      <c r="A393" t="s">
        <v>360</v>
      </c>
      <c r="F393" s="568">
        <v>6</v>
      </c>
    </row>
    <row r="394" spans="1:6" x14ac:dyDescent="0.3">
      <c r="A394" t="s">
        <v>361</v>
      </c>
      <c r="F394" s="568">
        <v>15</v>
      </c>
    </row>
    <row r="395" spans="1:6" x14ac:dyDescent="0.3">
      <c r="A395" t="s">
        <v>993</v>
      </c>
      <c r="F395" s="568">
        <v>2</v>
      </c>
    </row>
    <row r="396" spans="1:6" x14ac:dyDescent="0.3">
      <c r="A396" t="s">
        <v>362</v>
      </c>
      <c r="F396" s="568">
        <v>15</v>
      </c>
    </row>
    <row r="397" spans="1:6" x14ac:dyDescent="0.3">
      <c r="A397" t="s">
        <v>994</v>
      </c>
      <c r="F397" s="568">
        <v>2</v>
      </c>
    </row>
    <row r="398" spans="1:6" x14ac:dyDescent="0.3">
      <c r="A398" t="s">
        <v>363</v>
      </c>
      <c r="F398" s="568">
        <v>3</v>
      </c>
    </row>
    <row r="399" spans="1:6" x14ac:dyDescent="0.3">
      <c r="A399" t="s">
        <v>995</v>
      </c>
      <c r="F399" s="568">
        <v>1</v>
      </c>
    </row>
    <row r="400" spans="1:6" x14ac:dyDescent="0.3">
      <c r="A400" t="s">
        <v>996</v>
      </c>
      <c r="D400" s="568">
        <v>1</v>
      </c>
    </row>
    <row r="401" spans="1:7" x14ac:dyDescent="0.3">
      <c r="A401" t="s">
        <v>364</v>
      </c>
      <c r="F401" s="568">
        <v>1</v>
      </c>
    </row>
    <row r="402" spans="1:7" x14ac:dyDescent="0.3">
      <c r="A402" t="s">
        <v>365</v>
      </c>
      <c r="G402" s="568">
        <v>10</v>
      </c>
    </row>
    <row r="403" spans="1:7" x14ac:dyDescent="0.3">
      <c r="A403" t="s">
        <v>997</v>
      </c>
      <c r="G403" s="568">
        <v>1</v>
      </c>
    </row>
    <row r="404" spans="1:7" x14ac:dyDescent="0.3">
      <c r="A404" t="s">
        <v>998</v>
      </c>
      <c r="G404" s="568">
        <v>2</v>
      </c>
    </row>
    <row r="405" spans="1:7" x14ac:dyDescent="0.3">
      <c r="A405" t="s">
        <v>999</v>
      </c>
      <c r="B405">
        <v>2</v>
      </c>
    </row>
    <row r="406" spans="1:7" x14ac:dyDescent="0.3">
      <c r="A406" t="s">
        <v>366</v>
      </c>
      <c r="C406">
        <v>2</v>
      </c>
    </row>
    <row r="407" spans="1:7" x14ac:dyDescent="0.3">
      <c r="A407" t="s">
        <v>367</v>
      </c>
      <c r="C407">
        <v>2</v>
      </c>
    </row>
    <row r="408" spans="1:7" x14ac:dyDescent="0.3">
      <c r="A408" t="s">
        <v>1000</v>
      </c>
      <c r="B408">
        <v>2</v>
      </c>
    </row>
    <row r="409" spans="1:7" x14ac:dyDescent="0.3">
      <c r="A409" t="s">
        <v>1001</v>
      </c>
      <c r="B409">
        <v>1</v>
      </c>
    </row>
    <row r="410" spans="1:7" x14ac:dyDescent="0.3">
      <c r="A410" t="s">
        <v>368</v>
      </c>
      <c r="B410">
        <v>2</v>
      </c>
    </row>
    <row r="411" spans="1:7" x14ac:dyDescent="0.3">
      <c r="A411" t="s">
        <v>1002</v>
      </c>
      <c r="B411">
        <v>6</v>
      </c>
    </row>
    <row r="412" spans="1:7" x14ac:dyDescent="0.3">
      <c r="A412" t="s">
        <v>369</v>
      </c>
      <c r="B412">
        <v>1</v>
      </c>
    </row>
    <row r="413" spans="1:7" x14ac:dyDescent="0.3">
      <c r="A413" t="s">
        <v>370</v>
      </c>
      <c r="B413">
        <v>2</v>
      </c>
    </row>
    <row r="414" spans="1:7" x14ac:dyDescent="0.3">
      <c r="A414" t="s">
        <v>371</v>
      </c>
      <c r="E414" s="568">
        <v>2</v>
      </c>
    </row>
    <row r="415" spans="1:7" x14ac:dyDescent="0.3">
      <c r="A415" t="s">
        <v>1003</v>
      </c>
      <c r="E415" s="568">
        <v>1</v>
      </c>
    </row>
    <row r="416" spans="1:7" x14ac:dyDescent="0.3">
      <c r="A416" t="s">
        <v>372</v>
      </c>
      <c r="E416" s="568">
        <v>1</v>
      </c>
    </row>
    <row r="417" spans="1:7" x14ac:dyDescent="0.3">
      <c r="A417" t="s">
        <v>373</v>
      </c>
      <c r="E417" s="568">
        <v>3</v>
      </c>
    </row>
    <row r="418" spans="1:7" x14ac:dyDescent="0.3">
      <c r="A418" t="s">
        <v>1004</v>
      </c>
      <c r="G418" s="568">
        <v>2</v>
      </c>
    </row>
    <row r="419" spans="1:7" x14ac:dyDescent="0.3">
      <c r="A419" t="s">
        <v>1005</v>
      </c>
      <c r="G419" s="568">
        <v>3</v>
      </c>
    </row>
    <row r="420" spans="1:7" x14ac:dyDescent="0.3">
      <c r="A420" t="s">
        <v>1006</v>
      </c>
      <c r="G420" s="568">
        <v>100</v>
      </c>
    </row>
    <row r="421" spans="1:7" x14ac:dyDescent="0.3">
      <c r="A421" t="s">
        <v>1007</v>
      </c>
      <c r="G421" s="568">
        <v>2</v>
      </c>
    </row>
    <row r="422" spans="1:7" x14ac:dyDescent="0.3">
      <c r="A422" t="s">
        <v>374</v>
      </c>
      <c r="G422" s="568">
        <v>1</v>
      </c>
    </row>
    <row r="423" spans="1:7" x14ac:dyDescent="0.3">
      <c r="A423" t="s">
        <v>375</v>
      </c>
      <c r="G423" s="568">
        <v>5</v>
      </c>
    </row>
    <row r="424" spans="1:7" x14ac:dyDescent="0.3">
      <c r="A424" t="s">
        <v>1008</v>
      </c>
      <c r="G424" s="568">
        <v>1</v>
      </c>
    </row>
    <row r="425" spans="1:7" x14ac:dyDescent="0.3">
      <c r="A425" t="s">
        <v>376</v>
      </c>
      <c r="G425" s="568">
        <v>15</v>
      </c>
    </row>
    <row r="426" spans="1:7" x14ac:dyDescent="0.3">
      <c r="A426" t="s">
        <v>377</v>
      </c>
      <c r="G426" s="568">
        <v>1</v>
      </c>
    </row>
    <row r="427" spans="1:7" x14ac:dyDescent="0.3">
      <c r="A427" t="s">
        <v>378</v>
      </c>
      <c r="G427" s="568">
        <v>10</v>
      </c>
    </row>
    <row r="428" spans="1:7" x14ac:dyDescent="0.3">
      <c r="A428" t="s">
        <v>1009</v>
      </c>
      <c r="B428">
        <v>15</v>
      </c>
    </row>
    <row r="429" spans="1:7" x14ac:dyDescent="0.3">
      <c r="A429" t="s">
        <v>1010</v>
      </c>
      <c r="B429">
        <v>15</v>
      </c>
    </row>
    <row r="430" spans="1:7" x14ac:dyDescent="0.3">
      <c r="A430" t="s">
        <v>1011</v>
      </c>
      <c r="C430">
        <v>4</v>
      </c>
    </row>
    <row r="431" spans="1:7" x14ac:dyDescent="0.3">
      <c r="A431" t="s">
        <v>379</v>
      </c>
      <c r="C431">
        <v>1</v>
      </c>
    </row>
    <row r="432" spans="1:7" x14ac:dyDescent="0.3">
      <c r="A432" t="s">
        <v>1012</v>
      </c>
      <c r="C432">
        <v>2</v>
      </c>
    </row>
    <row r="433" spans="1:6" x14ac:dyDescent="0.3">
      <c r="A433" t="s">
        <v>380</v>
      </c>
      <c r="C433">
        <v>2</v>
      </c>
    </row>
    <row r="434" spans="1:6" x14ac:dyDescent="0.3">
      <c r="A434" t="s">
        <v>1013</v>
      </c>
      <c r="C434">
        <v>1</v>
      </c>
    </row>
    <row r="435" spans="1:6" x14ac:dyDescent="0.3">
      <c r="A435" t="s">
        <v>1014</v>
      </c>
      <c r="C435">
        <v>1</v>
      </c>
    </row>
    <row r="436" spans="1:6" x14ac:dyDescent="0.3">
      <c r="A436" t="s">
        <v>1015</v>
      </c>
      <c r="F436" s="568">
        <v>1</v>
      </c>
    </row>
    <row r="437" spans="1:6" x14ac:dyDescent="0.3">
      <c r="A437" t="s">
        <v>1016</v>
      </c>
      <c r="F437" s="568">
        <v>1</v>
      </c>
    </row>
    <row r="438" spans="1:6" x14ac:dyDescent="0.3">
      <c r="A438" t="s">
        <v>1017</v>
      </c>
      <c r="F438" s="568">
        <v>6</v>
      </c>
    </row>
    <row r="439" spans="1:6" x14ac:dyDescent="0.3">
      <c r="A439" t="s">
        <v>1018</v>
      </c>
      <c r="F439" s="568">
        <v>1</v>
      </c>
    </row>
    <row r="440" spans="1:6" x14ac:dyDescent="0.3">
      <c r="A440" t="s">
        <v>1019</v>
      </c>
      <c r="F440" s="568">
        <v>33</v>
      </c>
    </row>
    <row r="441" spans="1:6" x14ac:dyDescent="0.3">
      <c r="A441" t="s">
        <v>1020</v>
      </c>
      <c r="F441" s="568">
        <v>6</v>
      </c>
    </row>
    <row r="442" spans="1:6" x14ac:dyDescent="0.3">
      <c r="A442" t="s">
        <v>1021</v>
      </c>
      <c r="F442" s="568">
        <v>1</v>
      </c>
    </row>
    <row r="443" spans="1:6" x14ac:dyDescent="0.3">
      <c r="A443" t="s">
        <v>1022</v>
      </c>
      <c r="D443" s="568">
        <v>30</v>
      </c>
    </row>
    <row r="444" spans="1:6" x14ac:dyDescent="0.3">
      <c r="A444" t="s">
        <v>1023</v>
      </c>
      <c r="D444" s="568">
        <v>1</v>
      </c>
    </row>
    <row r="445" spans="1:6" x14ac:dyDescent="0.3">
      <c r="A445" t="s">
        <v>1024</v>
      </c>
      <c r="D445" s="568">
        <v>2</v>
      </c>
    </row>
    <row r="446" spans="1:6" x14ac:dyDescent="0.3">
      <c r="A446" t="s">
        <v>1025</v>
      </c>
      <c r="D446" s="568">
        <v>1</v>
      </c>
    </row>
    <row r="447" spans="1:6" x14ac:dyDescent="0.3">
      <c r="A447" t="s">
        <v>1026</v>
      </c>
      <c r="D447" s="568">
        <v>1</v>
      </c>
    </row>
    <row r="448" spans="1:6" x14ac:dyDescent="0.3">
      <c r="A448" t="s">
        <v>381</v>
      </c>
      <c r="D448" s="568">
        <v>2</v>
      </c>
    </row>
    <row r="449" spans="1:7" x14ac:dyDescent="0.3">
      <c r="A449" t="s">
        <v>1027</v>
      </c>
      <c r="D449" s="568">
        <v>2</v>
      </c>
    </row>
    <row r="450" spans="1:7" x14ac:dyDescent="0.3">
      <c r="A450" t="s">
        <v>382</v>
      </c>
      <c r="D450" s="568">
        <v>1</v>
      </c>
    </row>
    <row r="451" spans="1:7" x14ac:dyDescent="0.3">
      <c r="A451" t="s">
        <v>1028</v>
      </c>
      <c r="G451" s="568">
        <v>-16</v>
      </c>
    </row>
    <row r="452" spans="1:7" x14ac:dyDescent="0.3">
      <c r="A452" t="s">
        <v>1029</v>
      </c>
      <c r="G452" s="568">
        <v>-9</v>
      </c>
    </row>
    <row r="453" spans="1:7" x14ac:dyDescent="0.3">
      <c r="A453" t="s">
        <v>1030</v>
      </c>
      <c r="G453" s="568">
        <v>-5</v>
      </c>
    </row>
    <row r="454" spans="1:7" x14ac:dyDescent="0.3">
      <c r="A454" t="s">
        <v>1031</v>
      </c>
      <c r="E454" s="568">
        <v>-4</v>
      </c>
    </row>
    <row r="455" spans="1:7" x14ac:dyDescent="0.3">
      <c r="A455" t="s">
        <v>1032</v>
      </c>
      <c r="D455" s="568">
        <v>-5</v>
      </c>
    </row>
    <row r="456" spans="1:7" x14ac:dyDescent="0.3">
      <c r="A456" t="s">
        <v>1033</v>
      </c>
      <c r="D456" s="568">
        <v>-1</v>
      </c>
    </row>
    <row r="457" spans="1:7" x14ac:dyDescent="0.3">
      <c r="A457" t="s">
        <v>1034</v>
      </c>
      <c r="G457" s="568">
        <v>-1</v>
      </c>
    </row>
    <row r="458" spans="1:7" x14ac:dyDescent="0.3">
      <c r="A458" t="s">
        <v>1035</v>
      </c>
      <c r="G458" s="568">
        <v>-2</v>
      </c>
    </row>
    <row r="459" spans="1:7" x14ac:dyDescent="0.3">
      <c r="A459" t="s">
        <v>1036</v>
      </c>
      <c r="E459" s="568">
        <v>-1</v>
      </c>
    </row>
    <row r="460" spans="1:7" x14ac:dyDescent="0.3">
      <c r="A460" t="s">
        <v>1037</v>
      </c>
      <c r="E460" s="568">
        <v>-3</v>
      </c>
    </row>
    <row r="461" spans="1:7" x14ac:dyDescent="0.3">
      <c r="A461" t="s">
        <v>1038</v>
      </c>
      <c r="G461" s="568">
        <v>-15</v>
      </c>
    </row>
    <row r="462" spans="1:7" x14ac:dyDescent="0.3">
      <c r="A462" t="s">
        <v>1039</v>
      </c>
      <c r="G462" s="568">
        <v>-5</v>
      </c>
    </row>
    <row r="463" spans="1:7" x14ac:dyDescent="0.3">
      <c r="A463" t="s">
        <v>1040</v>
      </c>
      <c r="F463" s="568">
        <v>-2</v>
      </c>
    </row>
    <row r="464" spans="1:7" x14ac:dyDescent="0.3">
      <c r="A464" t="s">
        <v>1041</v>
      </c>
      <c r="B464">
        <v>-2</v>
      </c>
    </row>
    <row r="465" spans="1:7" x14ac:dyDescent="0.3">
      <c r="A465" t="s">
        <v>1042</v>
      </c>
      <c r="D465" s="568">
        <v>-1</v>
      </c>
    </row>
    <row r="466" spans="1:7" x14ac:dyDescent="0.3">
      <c r="A466" t="s">
        <v>1043</v>
      </c>
      <c r="G466" s="568">
        <v>-10</v>
      </c>
    </row>
    <row r="467" spans="1:7" x14ac:dyDescent="0.3">
      <c r="A467" t="s">
        <v>1044</v>
      </c>
      <c r="E467" s="568">
        <v>-2</v>
      </c>
    </row>
    <row r="468" spans="1:7" x14ac:dyDescent="0.3">
      <c r="A468" t="s">
        <v>1045</v>
      </c>
      <c r="B468">
        <v>-1</v>
      </c>
    </row>
    <row r="469" spans="1:7" x14ac:dyDescent="0.3">
      <c r="A469" t="s">
        <v>1046</v>
      </c>
      <c r="B469">
        <v>-2</v>
      </c>
    </row>
    <row r="470" spans="1:7" x14ac:dyDescent="0.3">
      <c r="A470" t="s">
        <v>1047</v>
      </c>
      <c r="D470" s="568">
        <v>-1</v>
      </c>
    </row>
    <row r="471" spans="1:7" x14ac:dyDescent="0.3">
      <c r="A471" t="s">
        <v>1048</v>
      </c>
      <c r="B471">
        <v>-30</v>
      </c>
    </row>
    <row r="472" spans="1:7" x14ac:dyDescent="0.3">
      <c r="A472" t="s">
        <v>1049</v>
      </c>
      <c r="E472" s="568">
        <v>-1</v>
      </c>
    </row>
    <row r="473" spans="1:7" x14ac:dyDescent="0.3">
      <c r="A473" t="s">
        <v>1050</v>
      </c>
      <c r="F473" s="568">
        <v>-2</v>
      </c>
    </row>
    <row r="474" spans="1:7" x14ac:dyDescent="0.3">
      <c r="A474" t="s">
        <v>1051</v>
      </c>
      <c r="F474" s="568">
        <v>-2</v>
      </c>
    </row>
    <row r="475" spans="1:7" x14ac:dyDescent="0.3">
      <c r="A475" t="s">
        <v>1052</v>
      </c>
      <c r="F475" s="568">
        <v>-1</v>
      </c>
    </row>
    <row r="476" spans="1:7" x14ac:dyDescent="0.3">
      <c r="A476" t="s">
        <v>1053</v>
      </c>
      <c r="F476" s="568">
        <v>-4</v>
      </c>
    </row>
    <row r="477" spans="1:7" x14ac:dyDescent="0.3">
      <c r="A477" t="s">
        <v>1054</v>
      </c>
      <c r="E477" s="568">
        <v>-3</v>
      </c>
    </row>
    <row r="478" spans="1:7" x14ac:dyDescent="0.3">
      <c r="A478" t="s">
        <v>1055</v>
      </c>
      <c r="B478">
        <v>-1</v>
      </c>
    </row>
    <row r="479" spans="1:7" x14ac:dyDescent="0.3">
      <c r="A479" t="s">
        <v>1056</v>
      </c>
      <c r="G479" s="568">
        <v>-1</v>
      </c>
    </row>
    <row r="480" spans="1:7" x14ac:dyDescent="0.3">
      <c r="A480" t="s">
        <v>1057</v>
      </c>
      <c r="G480" s="568">
        <v>-3</v>
      </c>
    </row>
    <row r="481" spans="1:7" x14ac:dyDescent="0.3">
      <c r="A481" t="s">
        <v>1058</v>
      </c>
      <c r="F481" s="568">
        <v>-2</v>
      </c>
    </row>
    <row r="482" spans="1:7" x14ac:dyDescent="0.3">
      <c r="A482" t="s">
        <v>1059</v>
      </c>
      <c r="D482" s="568">
        <v>-1</v>
      </c>
    </row>
    <row r="483" spans="1:7" x14ac:dyDescent="0.3">
      <c r="A483" t="s">
        <v>1060</v>
      </c>
      <c r="E483" s="568">
        <v>-2</v>
      </c>
    </row>
    <row r="484" spans="1:7" x14ac:dyDescent="0.3">
      <c r="A484" t="s">
        <v>1061</v>
      </c>
      <c r="G484" s="568">
        <v>-5</v>
      </c>
    </row>
    <row r="485" spans="1:7" x14ac:dyDescent="0.3">
      <c r="A485" t="s">
        <v>1062</v>
      </c>
      <c r="E485" s="568">
        <v>-2</v>
      </c>
    </row>
    <row r="486" spans="1:7" x14ac:dyDescent="0.3">
      <c r="A486" t="s">
        <v>1063</v>
      </c>
      <c r="D486" s="568">
        <v>-1</v>
      </c>
    </row>
    <row r="487" spans="1:7" x14ac:dyDescent="0.3">
      <c r="A487" t="s">
        <v>1064</v>
      </c>
      <c r="F487" s="568">
        <v>-1</v>
      </c>
    </row>
    <row r="488" spans="1:7" x14ac:dyDescent="0.3">
      <c r="A488" t="s">
        <v>1065</v>
      </c>
      <c r="E488" s="568">
        <v>-1</v>
      </c>
    </row>
    <row r="489" spans="1:7" x14ac:dyDescent="0.3">
      <c r="A489" t="s">
        <v>1066</v>
      </c>
      <c r="B489">
        <v>-15</v>
      </c>
    </row>
    <row r="490" spans="1:7" x14ac:dyDescent="0.3">
      <c r="A490" t="s">
        <v>1067</v>
      </c>
      <c r="F490" s="568">
        <v>-2</v>
      </c>
    </row>
    <row r="491" spans="1:7" x14ac:dyDescent="0.3">
      <c r="A491" t="s">
        <v>383</v>
      </c>
      <c r="B491">
        <v>0</v>
      </c>
    </row>
    <row r="492" spans="1:7" x14ac:dyDescent="0.3">
      <c r="A492" t="s">
        <v>384</v>
      </c>
      <c r="B492">
        <v>0</v>
      </c>
    </row>
    <row r="493" spans="1:7" x14ac:dyDescent="0.3">
      <c r="A493" t="s">
        <v>385</v>
      </c>
      <c r="E493" s="568">
        <v>0</v>
      </c>
    </row>
    <row r="494" spans="1:7" x14ac:dyDescent="0.3">
      <c r="A494" t="s">
        <v>386</v>
      </c>
      <c r="G494" s="568">
        <v>0</v>
      </c>
    </row>
    <row r="495" spans="1:7" x14ac:dyDescent="0.3">
      <c r="A495" t="s">
        <v>387</v>
      </c>
      <c r="D495" s="568">
        <v>0</v>
      </c>
    </row>
    <row r="496" spans="1:7" x14ac:dyDescent="0.3">
      <c r="A496" t="s">
        <v>388</v>
      </c>
      <c r="D496" s="568">
        <v>0</v>
      </c>
    </row>
    <row r="497" spans="1:7" x14ac:dyDescent="0.3">
      <c r="A497" t="s">
        <v>389</v>
      </c>
      <c r="D497" s="568">
        <v>0</v>
      </c>
    </row>
    <row r="498" spans="1:7" x14ac:dyDescent="0.3">
      <c r="A498" t="s">
        <v>390</v>
      </c>
      <c r="D498" s="568">
        <v>0</v>
      </c>
    </row>
    <row r="499" spans="1:7" x14ac:dyDescent="0.3">
      <c r="A499" t="s">
        <v>391</v>
      </c>
      <c r="B499">
        <v>0</v>
      </c>
    </row>
    <row r="500" spans="1:7" x14ac:dyDescent="0.3">
      <c r="A500" t="s">
        <v>392</v>
      </c>
      <c r="B500">
        <v>0</v>
      </c>
    </row>
    <row r="501" spans="1:7" x14ac:dyDescent="0.3">
      <c r="A501" t="s">
        <v>393</v>
      </c>
      <c r="G501" s="568">
        <v>0</v>
      </c>
    </row>
    <row r="502" spans="1:7" x14ac:dyDescent="0.3">
      <c r="A502" t="s">
        <v>394</v>
      </c>
      <c r="E502" s="568">
        <v>0</v>
      </c>
    </row>
    <row r="503" spans="1:7" x14ac:dyDescent="0.3">
      <c r="A503" t="s">
        <v>395</v>
      </c>
      <c r="B503">
        <v>0</v>
      </c>
    </row>
    <row r="504" spans="1:7" x14ac:dyDescent="0.3">
      <c r="A504" t="s">
        <v>396</v>
      </c>
      <c r="B504">
        <v>0</v>
      </c>
    </row>
    <row r="505" spans="1:7" x14ac:dyDescent="0.3">
      <c r="A505" t="s">
        <v>397</v>
      </c>
      <c r="B505">
        <v>0</v>
      </c>
    </row>
    <row r="506" spans="1:7" x14ac:dyDescent="0.3">
      <c r="A506" t="s">
        <v>398</v>
      </c>
      <c r="G506" s="568">
        <v>0</v>
      </c>
    </row>
    <row r="507" spans="1:7" x14ac:dyDescent="0.3">
      <c r="A507" t="s">
        <v>399</v>
      </c>
      <c r="G507" s="568">
        <v>0</v>
      </c>
    </row>
    <row r="508" spans="1:7" x14ac:dyDescent="0.3">
      <c r="A508" t="s">
        <v>400</v>
      </c>
      <c r="G508" s="568">
        <v>0</v>
      </c>
    </row>
    <row r="509" spans="1:7" x14ac:dyDescent="0.3">
      <c r="A509" t="s">
        <v>401</v>
      </c>
      <c r="G509" s="568">
        <v>0</v>
      </c>
    </row>
    <row r="510" spans="1:7" x14ac:dyDescent="0.3">
      <c r="A510" t="s">
        <v>402</v>
      </c>
      <c r="G510" s="568">
        <v>0</v>
      </c>
    </row>
    <row r="511" spans="1:7" x14ac:dyDescent="0.3">
      <c r="A511" t="s">
        <v>403</v>
      </c>
      <c r="G511" s="568">
        <v>0</v>
      </c>
    </row>
    <row r="512" spans="1:7" x14ac:dyDescent="0.3">
      <c r="A512" t="s">
        <v>404</v>
      </c>
      <c r="F512" s="568">
        <v>0</v>
      </c>
    </row>
    <row r="513" spans="1:6" x14ac:dyDescent="0.3">
      <c r="A513" t="s">
        <v>405</v>
      </c>
      <c r="F513" s="568">
        <v>0</v>
      </c>
    </row>
    <row r="514" spans="1:6" x14ac:dyDescent="0.3">
      <c r="A514" t="s">
        <v>406</v>
      </c>
      <c r="F514" s="568">
        <v>0</v>
      </c>
    </row>
    <row r="515" spans="1:6" x14ac:dyDescent="0.3">
      <c r="A515" t="s">
        <v>407</v>
      </c>
      <c r="F515" s="568">
        <v>0</v>
      </c>
    </row>
    <row r="516" spans="1:6" x14ac:dyDescent="0.3">
      <c r="A516" t="s">
        <v>408</v>
      </c>
      <c r="E516" s="568">
        <v>0</v>
      </c>
    </row>
    <row r="517" spans="1:6" x14ac:dyDescent="0.3">
      <c r="A517" t="s">
        <v>409</v>
      </c>
      <c r="E517" s="568">
        <v>0</v>
      </c>
    </row>
    <row r="518" spans="1:6" x14ac:dyDescent="0.3">
      <c r="A518" t="s">
        <v>410</v>
      </c>
      <c r="E518" s="568">
        <v>0</v>
      </c>
    </row>
    <row r="519" spans="1:6" x14ac:dyDescent="0.3">
      <c r="A519" t="s">
        <v>411</v>
      </c>
      <c r="E519" s="568">
        <v>0</v>
      </c>
    </row>
    <row r="520" spans="1:6" x14ac:dyDescent="0.3">
      <c r="A520" t="s">
        <v>412</v>
      </c>
      <c r="E520" s="568">
        <v>0</v>
      </c>
    </row>
    <row r="521" spans="1:6" x14ac:dyDescent="0.3">
      <c r="A521" t="s">
        <v>413</v>
      </c>
      <c r="E521" s="568">
        <v>0</v>
      </c>
    </row>
    <row r="522" spans="1:6" x14ac:dyDescent="0.3">
      <c r="A522" t="s">
        <v>414</v>
      </c>
      <c r="E522" s="568">
        <v>0</v>
      </c>
    </row>
    <row r="523" spans="1:6" x14ac:dyDescent="0.3">
      <c r="A523" t="s">
        <v>415</v>
      </c>
      <c r="E523" s="568">
        <v>0</v>
      </c>
    </row>
    <row r="524" spans="1:6" x14ac:dyDescent="0.3">
      <c r="A524" t="s">
        <v>416</v>
      </c>
      <c r="E524" s="568">
        <v>0</v>
      </c>
    </row>
    <row r="525" spans="1:6" x14ac:dyDescent="0.3">
      <c r="A525" t="s">
        <v>417</v>
      </c>
      <c r="D525" s="568">
        <v>0</v>
      </c>
    </row>
    <row r="526" spans="1:6" x14ac:dyDescent="0.3">
      <c r="A526" t="s">
        <v>418</v>
      </c>
      <c r="D526" s="568">
        <v>0</v>
      </c>
    </row>
    <row r="527" spans="1:6" x14ac:dyDescent="0.3">
      <c r="A527" t="s">
        <v>419</v>
      </c>
      <c r="D527" s="568">
        <v>0</v>
      </c>
    </row>
    <row r="528" spans="1:6" x14ac:dyDescent="0.3">
      <c r="A528" t="s">
        <v>420</v>
      </c>
      <c r="D528" s="568">
        <v>0</v>
      </c>
    </row>
    <row r="529" spans="1:6" x14ac:dyDescent="0.3">
      <c r="A529" t="s">
        <v>421</v>
      </c>
      <c r="E529" s="568">
        <v>0</v>
      </c>
    </row>
    <row r="530" spans="1:6" x14ac:dyDescent="0.3">
      <c r="A530" t="s">
        <v>422</v>
      </c>
      <c r="D530" s="568">
        <v>0</v>
      </c>
    </row>
    <row r="531" spans="1:6" x14ac:dyDescent="0.3">
      <c r="A531" t="s">
        <v>423</v>
      </c>
      <c r="F531" s="568">
        <v>0</v>
      </c>
    </row>
    <row r="532" spans="1:6" x14ac:dyDescent="0.3">
      <c r="A532" t="s">
        <v>424</v>
      </c>
      <c r="E532" s="568">
        <v>0</v>
      </c>
    </row>
    <row r="533" spans="1:6" x14ac:dyDescent="0.3">
      <c r="A533" t="s">
        <v>425</v>
      </c>
      <c r="E533" s="568">
        <v>0</v>
      </c>
    </row>
    <row r="534" spans="1:6" x14ac:dyDescent="0.3">
      <c r="A534" t="s">
        <v>426</v>
      </c>
      <c r="F534" s="568">
        <v>0</v>
      </c>
    </row>
    <row r="535" spans="1:6" x14ac:dyDescent="0.3">
      <c r="A535" t="s">
        <v>427</v>
      </c>
      <c r="F535" s="568">
        <v>0</v>
      </c>
    </row>
    <row r="536" spans="1:6" x14ac:dyDescent="0.3">
      <c r="A536" t="s">
        <v>428</v>
      </c>
      <c r="F536" s="568">
        <v>0</v>
      </c>
    </row>
    <row r="537" spans="1:6" x14ac:dyDescent="0.3">
      <c r="A537" t="s">
        <v>429</v>
      </c>
      <c r="F537" s="568">
        <v>0</v>
      </c>
    </row>
    <row r="538" spans="1:6" x14ac:dyDescent="0.3">
      <c r="A538" t="s">
        <v>430</v>
      </c>
      <c r="B538">
        <v>0</v>
      </c>
    </row>
    <row r="539" spans="1:6" x14ac:dyDescent="0.3">
      <c r="A539" t="s">
        <v>431</v>
      </c>
      <c r="F539" s="568">
        <v>0</v>
      </c>
    </row>
    <row r="540" spans="1:6" x14ac:dyDescent="0.3">
      <c r="A540" t="s">
        <v>432</v>
      </c>
      <c r="E540" s="568">
        <v>0</v>
      </c>
    </row>
    <row r="541" spans="1:6" x14ac:dyDescent="0.3">
      <c r="A541" t="s">
        <v>433</v>
      </c>
      <c r="E541" s="568">
        <v>0</v>
      </c>
    </row>
    <row r="542" spans="1:6" x14ac:dyDescent="0.3">
      <c r="A542" t="s">
        <v>434</v>
      </c>
      <c r="E542" s="568">
        <v>0</v>
      </c>
    </row>
    <row r="543" spans="1:6" x14ac:dyDescent="0.3">
      <c r="A543" t="s">
        <v>435</v>
      </c>
      <c r="E543" s="568">
        <v>0</v>
      </c>
    </row>
    <row r="544" spans="1:6" x14ac:dyDescent="0.3">
      <c r="A544" t="s">
        <v>436</v>
      </c>
      <c r="F544" s="568">
        <v>0</v>
      </c>
    </row>
    <row r="545" spans="1:7" x14ac:dyDescent="0.3">
      <c r="A545" t="s">
        <v>437</v>
      </c>
      <c r="F545" s="568">
        <v>0</v>
      </c>
    </row>
    <row r="546" spans="1:7" x14ac:dyDescent="0.3">
      <c r="A546" t="s">
        <v>438</v>
      </c>
      <c r="B546">
        <v>0</v>
      </c>
    </row>
    <row r="547" spans="1:7" x14ac:dyDescent="0.3">
      <c r="A547" t="s">
        <v>439</v>
      </c>
      <c r="B547">
        <v>0</v>
      </c>
    </row>
    <row r="548" spans="1:7" x14ac:dyDescent="0.3">
      <c r="A548" t="s">
        <v>440</v>
      </c>
      <c r="G548" s="568">
        <v>0</v>
      </c>
    </row>
    <row r="549" spans="1:7" x14ac:dyDescent="0.3">
      <c r="A549" t="s">
        <v>441</v>
      </c>
      <c r="G549" s="568">
        <v>0</v>
      </c>
    </row>
    <row r="550" spans="1:7" x14ac:dyDescent="0.3">
      <c r="A550" t="s">
        <v>442</v>
      </c>
      <c r="B550">
        <v>0</v>
      </c>
    </row>
    <row r="551" spans="1:7" x14ac:dyDescent="0.3">
      <c r="A551" t="s">
        <v>443</v>
      </c>
      <c r="B551">
        <v>0</v>
      </c>
    </row>
    <row r="552" spans="1:7" x14ac:dyDescent="0.3">
      <c r="A552" t="s">
        <v>444</v>
      </c>
      <c r="D552" s="568">
        <v>0</v>
      </c>
    </row>
    <row r="553" spans="1:7" x14ac:dyDescent="0.3">
      <c r="A553" t="s">
        <v>445</v>
      </c>
      <c r="D553" s="568">
        <v>0</v>
      </c>
    </row>
    <row r="554" spans="1:7" x14ac:dyDescent="0.3">
      <c r="A554" t="s">
        <v>446</v>
      </c>
      <c r="F554" s="568">
        <v>0</v>
      </c>
    </row>
    <row r="555" spans="1:7" x14ac:dyDescent="0.3">
      <c r="A555" t="s">
        <v>447</v>
      </c>
      <c r="F555" s="568">
        <v>0</v>
      </c>
    </row>
    <row r="556" spans="1:7" x14ac:dyDescent="0.3">
      <c r="A556" t="s">
        <v>448</v>
      </c>
      <c r="G556" s="568">
        <v>0</v>
      </c>
    </row>
    <row r="557" spans="1:7" x14ac:dyDescent="0.3">
      <c r="A557" t="s">
        <v>449</v>
      </c>
      <c r="G557" s="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COLABORADORES</vt:lpstr>
      <vt:lpstr>ACELERADORES DE CUMPLIMIENTO</vt:lpstr>
      <vt:lpstr>CONSOLIDADO LIQUIDACIÓN</vt:lpstr>
      <vt:lpstr>TABLA DE LIQUIDACION RV</vt:lpstr>
      <vt:lpstr>TABLA DE LIQUIDACION (Prev)</vt:lpstr>
      <vt:lpstr>TABLA DE LIQUIDACION JV</vt:lpstr>
      <vt:lpstr>TABLA DE LIQUIDACION DC</vt:lpstr>
      <vt:lpstr>SOPORTE VENTAS</vt:lpstr>
      <vt:lpstr>SOPORTE RENTABILIDAD</vt:lpstr>
      <vt:lpstr>SOPORTE RECAUDOS</vt:lpstr>
      <vt:lpstr>SOPORTE PREVENTA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Guzman</dc:creator>
  <cp:lastModifiedBy>Mauricio Castro</cp:lastModifiedBy>
  <cp:lastPrinted>2020-07-10T20:18:55Z</cp:lastPrinted>
  <dcterms:created xsi:type="dcterms:W3CDTF">2018-10-25T15:04:18Z</dcterms:created>
  <dcterms:modified xsi:type="dcterms:W3CDTF">2021-12-16T17:12:08Z</dcterms:modified>
</cp:coreProperties>
</file>