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9B654F2A-6179-46B3-9A59-73480358810B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33" i="2"/>
  <c r="C34" i="2"/>
  <c r="C31" i="2"/>
  <c r="C28" i="2"/>
  <c r="C29" i="2"/>
  <c r="C30" i="2"/>
  <c r="C27" i="2"/>
  <c r="C24" i="2"/>
  <c r="C25" i="2"/>
  <c r="C26" i="2"/>
  <c r="C23" i="2"/>
  <c r="C20" i="2"/>
  <c r="C21" i="2"/>
  <c r="C22" i="2"/>
  <c r="C19" i="2"/>
  <c r="C16" i="2"/>
  <c r="C17" i="2"/>
  <c r="C18" i="2"/>
  <c r="C15" i="2"/>
  <c r="C12" i="2"/>
  <c r="C13" i="2"/>
  <c r="C14" i="2"/>
  <c r="C11" i="2"/>
  <c r="C8" i="2"/>
  <c r="C9" i="2"/>
  <c r="C10" i="2"/>
  <c r="C7" i="2"/>
  <c r="C4" i="2"/>
  <c r="C5" i="2"/>
  <c r="C6" i="2"/>
  <c r="C3" i="2"/>
  <c r="AT35" i="3" l="1"/>
  <c r="AS35" i="3"/>
  <c r="AO35" i="3"/>
  <c r="AN35" i="3"/>
  <c r="AM35" i="3"/>
  <c r="AL35" i="3"/>
  <c r="C39" i="3" s="1"/>
  <c r="AJ35" i="3"/>
  <c r="AI35" i="3"/>
  <c r="AE35" i="3"/>
  <c r="AD35" i="3"/>
  <c r="AC35" i="3"/>
  <c r="AB35" i="3"/>
  <c r="C38" i="3" s="1"/>
  <c r="AT30" i="3"/>
  <c r="AS30" i="3"/>
  <c r="AO30" i="3"/>
  <c r="AN30" i="3"/>
  <c r="AM30" i="3"/>
  <c r="AL30" i="3"/>
  <c r="AJ30" i="3"/>
  <c r="AI30" i="3"/>
  <c r="AE30" i="3"/>
  <c r="AD30" i="3"/>
  <c r="AC30" i="3"/>
  <c r="AB30" i="3"/>
  <c r="C40" i="3" s="1"/>
  <c r="AT25" i="3"/>
  <c r="AS25" i="3"/>
  <c r="AO25" i="3"/>
  <c r="AN25" i="3"/>
  <c r="AM25" i="3"/>
  <c r="AL25" i="3"/>
  <c r="G30" i="3" s="1"/>
  <c r="AJ25" i="3"/>
  <c r="AI25" i="3"/>
  <c r="AE25" i="3"/>
  <c r="AD25" i="3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H30" i="3" l="1"/>
  <c r="AR17" i="3"/>
  <c r="AA25" i="3"/>
  <c r="AR24" i="3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Y35" i="3"/>
  <c r="W35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H9" i="2" s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M14" i="2" s="1"/>
  <c r="AT6" i="1"/>
  <c r="AS6" i="1"/>
  <c r="K14" i="2" s="1"/>
  <c r="J19" i="2"/>
  <c r="AK26" i="1"/>
  <c r="AK24" i="1"/>
  <c r="AK22" i="1"/>
  <c r="J11" i="2"/>
  <c r="AK18" i="1"/>
  <c r="AK16" i="1"/>
  <c r="J10" i="2" s="1"/>
  <c r="AK14" i="1"/>
  <c r="I19" i="2"/>
  <c r="AJ26" i="1"/>
  <c r="AJ24" i="1"/>
  <c r="AJ22" i="1"/>
  <c r="I12" i="2" s="1"/>
  <c r="AJ18" i="1"/>
  <c r="AJ16" i="1"/>
  <c r="I10" i="2" s="1"/>
  <c r="AJ14" i="1"/>
  <c r="I13" i="2" s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3" i="2" l="1"/>
  <c r="M10" i="2"/>
  <c r="I9" i="2"/>
  <c r="K10" i="2"/>
  <c r="J9" i="2"/>
  <c r="M11" i="2"/>
  <c r="L14" i="2"/>
  <c r="J5" i="2"/>
  <c r="H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9" i="2" l="1"/>
  <c r="D5" i="2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C9" i="3" l="1"/>
  <c r="AB9" i="3" s="1"/>
  <c r="G18" i="3" s="1"/>
  <c r="C7" i="3"/>
  <c r="AB7" i="3" s="1"/>
  <c r="G17" i="3" s="1"/>
  <c r="G6" i="3"/>
  <c r="AL6" i="3" s="1"/>
  <c r="G8" i="3"/>
  <c r="AL8" i="3" s="1"/>
  <c r="G10" i="3"/>
  <c r="AL10" i="3" s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AY31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7" i="3" l="1"/>
  <c r="AL7" i="3" s="1"/>
  <c r="G12" i="3"/>
  <c r="C6" i="3"/>
  <c r="AB6" i="3" s="1"/>
  <c r="C17" i="3" s="1"/>
  <c r="C13" i="3"/>
  <c r="AB13" i="3" s="1"/>
  <c r="G20" i="3" s="1"/>
  <c r="G13" i="3"/>
  <c r="AL13" i="3" s="1"/>
  <c r="C12" i="3"/>
  <c r="AB12" i="3" s="1"/>
  <c r="C20" i="3" s="1"/>
  <c r="C10" i="3"/>
  <c r="AB10" i="3" s="1"/>
  <c r="C19" i="3" s="1"/>
  <c r="G11" i="3"/>
  <c r="AL11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<sst xmlns="http://schemas.openxmlformats.org/spreadsheetml/2006/main" count="1082" uniqueCount="111">
  <si>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</si>
  <si>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</si>
  <si>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</si>
  <si>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</si>
  <si>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</si>
  <si>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</si>
  <si>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</si>
  <si>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</si>
  <si>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</si>
  <si>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</si>
  <si>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</si>
  <si>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</si>
  <si>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</si>
  <si>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</si>
  <si>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</si>
  <si>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</si>
  <si>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</si>
  <si>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</si>
  <si>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</si>
  <si>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</si>
  <si>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</si>
  <si>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</si>
  <si>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</si>
  <si>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</si>
  <si>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</si>
  <si>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</si>
  <si>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</si>
  <si>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</si>
  <si>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</si>
  <si>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</si>
  <si>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</si>
  <si>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</si>
  <si>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</si>
  <si>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</si>
  <si>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</si>
  <si>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</si>
  <si>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</si>
  <si>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</si>
  <si>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</si>
  <si>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</si>
  <si>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</si>
  <si>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</si>
  <si>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</si>
  <si>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</si>
  <si>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</si>
  <si>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</si>
  <si>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Pool A</t>
  </si>
  <si>
    <t>Pool B</t>
  </si>
  <si>
    <t>Pool C</t>
  </si>
  <si>
    <t>Pool D</t>
  </si>
  <si>
    <t>Pool E</t>
  </si>
  <si>
    <t>Pool F</t>
  </si>
  <si>
    <t>Pool G</t>
  </si>
  <si>
    <t>Pool H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</si>
  <si>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</si>
  <si>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</si>
  <si>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</si>
  <si>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</si>
  <si>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</si>
  <si>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</si>
  <si>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</si>
  <si>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</si>
  <si>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</si>
  <si>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</si>
  <si>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</si>
  <si>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</si>
  <si>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</si>
  <si>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</si>
  <si>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</si>
  <si>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</si>
  <si>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</si>
  <si>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</si>
  <si>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</si>
  <si>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</si>
  <si>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</si>
  <si>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</si>
  <si>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</si>
  <si>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</si>
  <si>
    <t>2025 FIVB Men's Volleyball World Championship</t>
  </si>
  <si>
    <t>Philippines</t>
  </si>
  <si>
    <t>Iran</t>
  </si>
  <si>
    <t>Egypt</t>
  </si>
  <si>
    <t>Tunisia</t>
  </si>
  <si>
    <t>Poland</t>
  </si>
  <si>
    <t>Netherlands</t>
  </si>
  <si>
    <t>Qatar</t>
  </si>
  <si>
    <t>Romania</t>
  </si>
  <si>
    <t>France</t>
  </si>
  <si>
    <t>Argentina</t>
  </si>
  <si>
    <t>Finland</t>
  </si>
  <si>
    <t>South Korea</t>
  </si>
  <si>
    <t>United States</t>
  </si>
  <si>
    <t>Cuba</t>
  </si>
  <si>
    <t>Portugal</t>
  </si>
  <si>
    <t>Colombia</t>
  </si>
  <si>
    <t>Slovenia</t>
  </si>
  <si>
    <t>Germany</t>
  </si>
  <si>
    <t>Bulgaria</t>
  </si>
  <si>
    <t>Chile</t>
  </si>
  <si>
    <t>Italy</t>
  </si>
  <si>
    <t>Ukraine</t>
  </si>
  <si>
    <t>Belgium</t>
  </si>
  <si>
    <t>Algeria</t>
  </si>
  <si>
    <t>Japan</t>
  </si>
  <si>
    <t>Canada</t>
  </si>
  <si>
    <t>Turkey</t>
  </si>
  <si>
    <t>Libya</t>
  </si>
  <si>
    <t>Brazil</t>
  </si>
  <si>
    <t>Serbia</t>
  </si>
  <si>
    <t>Czech Republic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</si>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</sst>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238125</xdr:colOff>
      <xdr:row>3</xdr:row>
      <xdr:rowOff>0</xdr:rowOff>
    </xdr:from>
    <xdr:to>
      <xdr:col>69</xdr:col>
      <xdr:colOff>729975</xdr:colOff>
      <xdr:row>10</xdr:row>
      <xdr:rowOff>22350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C64E3C39-172F-4698-833C-B86BA8D9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609600"/>
          <a:ext cx="1692000" cy="11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523875</xdr:colOff>
      <xdr:row>3</xdr:row>
      <xdr:rowOff>19049</xdr:rowOff>
    </xdr:from>
    <xdr:to>
      <xdr:col>48</xdr:col>
      <xdr:colOff>85725</xdr:colOff>
      <xdr:row>11</xdr:row>
      <xdr:rowOff>95249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0F6F37F6-5F93-4C63-B6AD-373F116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628649"/>
          <a:ext cx="2000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/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46</v>
      </c>
      <c r="B3" s="1">
        <f>RANK(F3,$F$3:$F$6)+SUM(T3:W3)</f>
        <v>3</v>
      </c>
      <c r="C3" t="str">
        <f>Preliminary!AB6</f>
        <v>Philippines</v>
      </c>
      <c r="D3" s="1">
        <f>SUM(H3*3,I3*3,J3*2,K3)</f>
        <v>4</v>
      </c>
      <c r="E3" s="1">
        <f>F3+G3</f>
        <v>3</v>
      </c>
      <c r="F3" s="1">
        <f>COUNTIF(Preliminary!AE:AE,Dummy!C3)</f>
        <v>1</v>
      </c>
      <c r="G3" s="1">
        <f>COUNTIF(Preliminary!AO:AO,Dummy!C3)</f>
        <v>2</v>
      </c>
      <c r="H3" s="1">
        <f>SUMIF(Preliminary!$AE:$AE,Dummy!$C3,Preliminary!AI:AI)</f>
        <v>0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1</v>
      </c>
      <c r="N3" s="1">
        <f>SUMIF(Preliminary!AE:AE,C3,Preliminary!AG:AG)+SUMIF(Preliminary!AO:AO,C3,Preliminary!AQ:AQ)</f>
        <v>5</v>
      </c>
      <c r="O3" s="1">
        <f>SUMIF(Preliminary!AE:AE,C3,Preliminary!AH:AH)+SUMIF(Preliminary!AO:AO,C3,Preliminary!AR:AR)</f>
        <v>7</v>
      </c>
      <c r="P3" s="4">
        <f>IFERROR((N3/O3)*1000,"MAX")</f>
        <v>714.28571428571433</v>
      </c>
      <c r="Q3" s="1">
        <f>SUMIF(Preliminary!AE:AE,C3,Preliminary!AL:AL)+SUMIF(Preliminary!AO:AO,C3,Preliminary!AV:AV)</f>
        <v>269</v>
      </c>
      <c r="R3" s="1">
        <f>SUMIF(Preliminary!AE:AE,C3,Preliminary!AM:AM)+SUMIF(Preliminary!AO:AO,C3,Preliminary!AW:AW)</f>
        <v>279</v>
      </c>
      <c r="S3" s="4">
        <f t="shared" ref="S3:S20" si="0">IFERROR((Q3/R3)*1000,"MAX")</f>
        <v>964.15770609318997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tr">
        <f>Preliminary!AB7</f>
        <v>Iran</v>
      </c>
      <c r="D4" s="1">
        <f t="shared" ref="D4:D20" si="1">SUM(H4*3,I4*3,J4*2,K4)</f>
        <v>5</v>
      </c>
      <c r="E4" s="1">
        <f t="shared" ref="E4:E20" si="2">F4+G4</f>
        <v>3</v>
      </c>
      <c r="F4" s="1">
        <f>COUNTIF(Preliminary!AE:AE,Dummy!C4)</f>
        <v>2</v>
      </c>
      <c r="G4" s="1">
        <f>COUNTIF(Preliminary!AO:AO,Dummy!C4)</f>
        <v>1</v>
      </c>
      <c r="H4" s="1">
        <f>SUMIF(Preliminary!$AE:$AE,Dummy!$C4,Preliminary!AI:AI)</f>
        <v>0</v>
      </c>
      <c r="I4" s="1">
        <f>SUMIF(Preliminary!$AE:$AE,Dummy!$C4,Preliminary!AJ:AJ)</f>
        <v>1</v>
      </c>
      <c r="J4" s="1">
        <f>SUMIF(Preliminary!$AE:$AE,Dummy!$C4,Preliminary!AK:AK)</f>
        <v>1</v>
      </c>
      <c r="K4" s="1">
        <f>SUMIF(Preliminary!$AO:$AO,Dummy!$C4,Preliminary!AS:AS)</f>
        <v>0</v>
      </c>
      <c r="L4" s="1">
        <f>SUMIF(Preliminary!$AO:$AO,Dummy!$C4,Preliminary!AT:AT)</f>
        <v>1</v>
      </c>
      <c r="M4" s="1">
        <f>SUMIF(Preliminary!$AO:$AO,Dummy!$C4,Preliminary!AU:AU)</f>
        <v>0</v>
      </c>
      <c r="N4" s="1">
        <f>SUMIF(Preliminary!AE:AE,C4,Preliminary!AG:AG)+SUMIF(Preliminary!AO:AO,C4,Preliminary!AQ:AQ)</f>
        <v>7</v>
      </c>
      <c r="O4" s="1">
        <f>SUMIF(Preliminary!AE:AE,C4,Preliminary!AH:AH)+SUMIF(Preliminary!AO:AO,C4,Preliminary!AR:AR)</f>
        <v>6</v>
      </c>
      <c r="P4" s="4">
        <f t="shared" ref="P4:P20" si="3">IFERROR((N4/O4)*1000,"MAX")</f>
        <v>1166.6666666666667</v>
      </c>
      <c r="Q4" s="1">
        <f>SUMIF(Preliminary!AE:AE,C4,Preliminary!AL:AL)+SUMIF(Preliminary!AO:AO,C4,Preliminary!AV:AV)</f>
        <v>293</v>
      </c>
      <c r="R4" s="1">
        <f>SUMIF(Preliminary!AE:AE,C4,Preliminary!AM:AM)+SUMIF(Preliminary!AO:AO,C4,Preliminary!AW:AW)</f>
        <v>289</v>
      </c>
      <c r="S4" s="4">
        <f t="shared" si="0"/>
        <v>1013.840830449827</v>
      </c>
      <c r="T4" s="1">
        <f t="shared" ref="T4:T6" si="4">SUMPRODUCT(($F$3:$F$6=F4)*($D$3:$D$6&gt;D4))</f>
        <v>1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4</v>
      </c>
      <c r="C5" t="str">
        <f>Preliminary!AB8</f>
        <v>Egypt</v>
      </c>
      <c r="D5" s="1">
        <f t="shared" si="1"/>
        <v>3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0</v>
      </c>
      <c r="L5" s="1">
        <f>SUMIF(Preliminary!$AO:$AO,Dummy!$C5,Preliminary!AT:AT)</f>
        <v>1</v>
      </c>
      <c r="M5" s="1">
        <f>SUMIF(Preliminary!$AO:$AO,Dummy!$C5,Preliminary!AU:AU)</f>
        <v>1</v>
      </c>
      <c r="N5" s="1">
        <f>SUMIF(Preliminary!AE:AE,C5,Preliminary!AG:AG)+SUMIF(Preliminary!AO:AO,C5,Preliminary!AQ:AQ)</f>
        <v>4</v>
      </c>
      <c r="O5" s="1">
        <f>SUMIF(Preliminary!AE:AE,C5,Preliminary!AH:AH)+SUMIF(Preliminary!AO:AO,C5,Preliminary!AR:AR)</f>
        <v>7</v>
      </c>
      <c r="P5" s="4">
        <f t="shared" si="3"/>
        <v>571.42857142857144</v>
      </c>
      <c r="Q5" s="1">
        <f>SUMIF(Preliminary!AE:AE,C5,Preliminary!AL:AL)+SUMIF(Preliminary!AO:AO,C5,Preliminary!AV:AV)</f>
        <v>244</v>
      </c>
      <c r="R5" s="1">
        <f>SUMIF(Preliminary!AE:AE,C5,Preliminary!AM:AM)+SUMIF(Preliminary!AO:AO,C5,Preliminary!AW:AW)</f>
        <v>262</v>
      </c>
      <c r="S5" s="4">
        <f t="shared" si="0"/>
        <v>931.29770992366412</v>
      </c>
      <c r="T5" s="1">
        <f t="shared" si="4"/>
        <v>1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1</v>
      </c>
      <c r="C6" t="str">
        <f>Preliminary!AB9</f>
        <v>Tunisia</v>
      </c>
      <c r="D6" s="1">
        <f t="shared" si="1"/>
        <v>6</v>
      </c>
      <c r="E6" s="1">
        <f t="shared" si="2"/>
        <v>3</v>
      </c>
      <c r="F6" s="1">
        <f>COUNTIF(Preliminary!AE:AE,Dummy!C6)</f>
        <v>2</v>
      </c>
      <c r="G6" s="1">
        <f>COUNTIF(Preliminary!AO:AO,Dummy!C6)</f>
        <v>1</v>
      </c>
      <c r="H6" s="1">
        <f>SUMIF(Preliminary!$AE:$AE,Dummy!$C6,Preliminary!AI:AI)</f>
        <v>2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1</v>
      </c>
      <c r="M6" s="1">
        <f>SUMIF(Preliminary!$AO:$AO,Dummy!$C6,Preliminary!AU:AU)</f>
        <v>0</v>
      </c>
      <c r="N6" s="1">
        <f>SUMIF(Preliminary!AE:AE,C6,Preliminary!AG:AG)+SUMIF(Preliminary!AO:AO,C6,Preliminary!AQ:AQ)</f>
        <v>7</v>
      </c>
      <c r="O6" s="1">
        <f>SUMIF(Preliminary!AE:AE,C6,Preliminary!AH:AH)+SUMIF(Preliminary!AO:AO,C6,Preliminary!AR:AR)</f>
        <v>3</v>
      </c>
      <c r="P6" s="4">
        <f t="shared" si="3"/>
        <v>2333.3333333333335</v>
      </c>
      <c r="Q6" s="1">
        <f>SUMIF(Preliminary!AE:AE,C6,Preliminary!AL:AL)+SUMIF(Preliminary!AO:AO,C6,Preliminary!AV:AV)</f>
        <v>234</v>
      </c>
      <c r="R6" s="1">
        <f>SUMIF(Preliminary!AE:AE,C6,Preliminary!AM:AM)+SUMIF(Preliminary!AO:AO,C6,Preliminary!AW:AW)</f>
        <v>210</v>
      </c>
      <c r="S6" s="4">
        <f t="shared" si="0"/>
        <v>1114.2857142857142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47</v>
      </c>
      <c r="B7" s="1">
        <f>RANK(F7,$F$7:$F$10)+SUM(T7:W7)</f>
        <v>1</v>
      </c>
      <c r="C7" t="str">
        <f>Preliminary!AB14</f>
        <v>Poland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256</v>
      </c>
      <c r="R7" s="1">
        <f>SUMIF(Preliminary!AE:AE,C7,Preliminary!AM:AM)+SUMIF(Preliminary!AO:AO,C7,Preliminary!AW:AW)</f>
        <v>209</v>
      </c>
      <c r="S7" s="4">
        <f t="shared" si="0"/>
        <v>1224.8803827751196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tr">
        <f>Preliminary!AB15</f>
        <v>Netherlands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1</v>
      </c>
      <c r="I8" s="1">
        <f>SUMIF(Preliminary!$AE:$AE,Dummy!$C8,Preliminary!AJ:AJ)</f>
        <v>1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4</v>
      </c>
      <c r="P8" s="4">
        <f t="shared" si="3"/>
        <v>1750</v>
      </c>
      <c r="Q8" s="1">
        <f>SUMIF(Preliminary!AE:AE,C8,Preliminary!AL:AL)+SUMIF(Preliminary!AO:AO,C8,Preliminary!AV:AV)</f>
        <v>267</v>
      </c>
      <c r="R8" s="1">
        <f>SUMIF(Preliminary!AE:AE,C8,Preliminary!AM:AM)+SUMIF(Preliminary!AO:AO,C8,Preliminary!AW:AW)</f>
        <v>260</v>
      </c>
      <c r="S8" s="4">
        <f t="shared" si="0"/>
        <v>1026.9230769230769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tr">
        <f>Preliminary!AB16</f>
        <v>Qatar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1</v>
      </c>
      <c r="M9" s="1">
        <f>SUMIF(Preliminary!$AO:$AO,Dummy!$C9,Preliminary!AU:AU)</f>
        <v>1</v>
      </c>
      <c r="N9" s="1">
        <f>SUMIF(Preliminary!AE:AE,C9,Preliminary!AG:AG)+SUMIF(Preliminary!AO:AO,C9,Preliminary!AQ:AQ)</f>
        <v>4</v>
      </c>
      <c r="O9" s="1">
        <f>SUMIF(Preliminary!AE:AE,C9,Preliminary!AH:AH)+SUMIF(Preliminary!AO:AO,C9,Preliminary!AR:AR)</f>
        <v>7</v>
      </c>
      <c r="P9" s="4">
        <f t="shared" si="3"/>
        <v>571.42857142857144</v>
      </c>
      <c r="Q9" s="1">
        <f>SUMIF(Preliminary!AE:AE,C9,Preliminary!AL:AL)+SUMIF(Preliminary!AO:AO,C9,Preliminary!AV:AV)</f>
        <v>241</v>
      </c>
      <c r="R9" s="1">
        <f>SUMIF(Preliminary!AE:AE,C9,Preliminary!AM:AM)+SUMIF(Preliminary!AO:AO,C9,Preliminary!AW:AW)</f>
        <v>266</v>
      </c>
      <c r="S9" s="4">
        <f t="shared" si="0"/>
        <v>906.01503759398497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tr">
        <f>Preliminary!AB17</f>
        <v>Romania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227</v>
      </c>
      <c r="R10" s="1">
        <f>SUMIF(Preliminary!AE:AE,C10,Preliminary!AM:AM)+SUMIF(Preliminary!AO:AO,C10,Preliminary!AW:AW)</f>
        <v>256</v>
      </c>
      <c r="S10" s="4">
        <f t="shared" si="0"/>
        <v>886.71875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48</v>
      </c>
      <c r="B11" s="1">
        <f>RANK(F11,$F$11:$F$14)+SUM(T11:W11)</f>
        <v>3</v>
      </c>
      <c r="C11" t="str">
        <f>Preliminary!AB22</f>
        <v>France</v>
      </c>
      <c r="D11" s="1">
        <f t="shared" si="1"/>
        <v>5</v>
      </c>
      <c r="E11" s="1">
        <f t="shared" si="2"/>
        <v>3</v>
      </c>
      <c r="F11" s="1">
        <f>COUNTIF(Preliminary!AE:AE,Dummy!C11)</f>
        <v>1</v>
      </c>
      <c r="G11" s="1">
        <f>COUNTIF(Preliminary!AO:AO,Dummy!C11)</f>
        <v>2</v>
      </c>
      <c r="H11" s="1">
        <f>SUMIF(Preliminary!$AE:$AE,Dummy!$C11,Preliminary!AI:AI)</f>
        <v>1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2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7</v>
      </c>
      <c r="O11" s="1">
        <f>SUMIF(Preliminary!AE:AE,C11,Preliminary!AH:AH)+SUMIF(Preliminary!AO:AO,C11,Preliminary!AR:AR)</f>
        <v>6</v>
      </c>
      <c r="P11" s="4">
        <f t="shared" si="3"/>
        <v>1166.6666666666667</v>
      </c>
      <c r="Q11" s="1">
        <f>SUMIF(Preliminary!AE:AE,C11,Preliminary!AL:AL)+SUMIF(Preliminary!AO:AO,C11,Preliminary!AV:AV)</f>
        <v>291</v>
      </c>
      <c r="R11" s="1">
        <f>SUMIF(Preliminary!AE:AE,C11,Preliminary!AM:AM)+SUMIF(Preliminary!AO:AO,C11,Preliminary!AW:AW)</f>
        <v>262</v>
      </c>
      <c r="S11" s="4">
        <f t="shared" si="0"/>
        <v>1110.6870229007632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1</v>
      </c>
      <c r="C12" t="str">
        <f>Preliminary!AB23</f>
        <v>Argentina</v>
      </c>
      <c r="D12" s="1">
        <f t="shared" si="1"/>
        <v>7</v>
      </c>
      <c r="E12" s="1">
        <f t="shared" si="2"/>
        <v>3</v>
      </c>
      <c r="F12" s="1">
        <f>COUNTIF(Preliminary!AE:AE,Dummy!C12)</f>
        <v>3</v>
      </c>
      <c r="G12" s="1">
        <f>COUNTIF(Preliminary!AO:AO,Dummy!C12)</f>
        <v>0</v>
      </c>
      <c r="H12" s="1">
        <f>SUMIF(Preliminary!$AE:$AE,Dummy!$C12,Preliminary!AI:AI)</f>
        <v>0</v>
      </c>
      <c r="I12" s="1">
        <f>SUMIF(Preliminary!$AE:$AE,Dummy!$C12,Preliminary!AJ:AJ)</f>
        <v>1</v>
      </c>
      <c r="J12" s="1">
        <f>SUMIF(Preliminary!$AE:$AE,Dummy!$C12,Preliminary!AK:AK)</f>
        <v>2</v>
      </c>
      <c r="K12" s="1">
        <f>SUMIF(Preliminary!$AO:$AO,Dummy!$C12,Preliminary!AS:AS)</f>
        <v>0</v>
      </c>
      <c r="L12" s="1">
        <f>SUMIF(Preliminary!$AO:$AO,Dummy!$C12,Preliminary!AT:AT)</f>
        <v>0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9</v>
      </c>
      <c r="O12" s="1">
        <f>SUMIF(Preliminary!AE:AE,C12,Preliminary!AH:AH)+SUMIF(Preliminary!AO:AO,C12,Preliminary!AR:AR)</f>
        <v>5</v>
      </c>
      <c r="P12" s="4">
        <f t="shared" si="3"/>
        <v>1800</v>
      </c>
      <c r="Q12" s="1">
        <f>SUMIF(Preliminary!AE:AE,C12,Preliminary!AL:AL)+SUMIF(Preliminary!AO:AO,C12,Preliminary!AV:AV)</f>
        <v>309</v>
      </c>
      <c r="R12" s="1">
        <f>SUMIF(Preliminary!AE:AE,C12,Preliminary!AM:AM)+SUMIF(Preliminary!AO:AO,C12,Preliminary!AW:AW)</f>
        <v>302</v>
      </c>
      <c r="S12" s="4">
        <f t="shared" si="0"/>
        <v>1023.1788079470199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tr">
        <f>Preliminary!AB24</f>
        <v>Finland</v>
      </c>
      <c r="D13" s="1">
        <f t="shared" si="1"/>
        <v>6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1</v>
      </c>
      <c r="J13" s="1">
        <f>SUMIF(Preliminary!$AE:$AE,Dummy!$C13,Preliminary!AK:AK)</f>
        <v>1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6</v>
      </c>
      <c r="P13" s="4">
        <f t="shared" si="3"/>
        <v>1333.3333333333333</v>
      </c>
      <c r="Q13" s="1">
        <f>SUMIF(Preliminary!AE:AE,C13,Preliminary!AL:AL)+SUMIF(Preliminary!AO:AO,C13,Preliminary!AV:AV)</f>
        <v>304</v>
      </c>
      <c r="R13" s="1">
        <f>SUMIF(Preliminary!AE:AE,C13,Preliminary!AM:AM)+SUMIF(Preliminary!AO:AO,C13,Preliminary!AW:AW)</f>
        <v>294</v>
      </c>
      <c r="S13" s="4">
        <f t="shared" si="0"/>
        <v>1034.0136054421769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4</v>
      </c>
      <c r="C14" t="str">
        <f>Preliminary!AB25</f>
        <v>South Korea</v>
      </c>
      <c r="D14" s="1">
        <f t="shared" si="1"/>
        <v>0</v>
      </c>
      <c r="E14" s="1">
        <f t="shared" si="2"/>
        <v>3</v>
      </c>
      <c r="F14" s="1">
        <f>COUNTIF(Preliminary!AE:AE,Dummy!C14)</f>
        <v>0</v>
      </c>
      <c r="G14" s="1">
        <f>COUNTIF(Preliminary!AO:AO,Dummy!C14)</f>
        <v>3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2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2</v>
      </c>
      <c r="O14" s="1">
        <f>SUMIF(Preliminary!AE:AE,C14,Preliminary!AH:AH)+SUMIF(Preliminary!AO:AO,C14,Preliminary!AR:AR)</f>
        <v>9</v>
      </c>
      <c r="P14" s="4">
        <f t="shared" si="3"/>
        <v>222.2222222222222</v>
      </c>
      <c r="Q14" s="1">
        <f>SUMIF(Preliminary!AE:AE,C14,Preliminary!AL:AL)+SUMIF(Preliminary!AO:AO,C14,Preliminary!AV:AV)</f>
        <v>219</v>
      </c>
      <c r="R14" s="1">
        <f>SUMIF(Preliminary!AE:AE,C14,Preliminary!AM:AM)+SUMIF(Preliminary!AO:AO,C14,Preliminary!AW:AW)</f>
        <v>265</v>
      </c>
      <c r="S14" s="4">
        <f t="shared" si="0"/>
        <v>826.41509433962267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49</v>
      </c>
      <c r="B15" s="1">
        <f>RANK(F15,$F$15:$F$18)+SUM(T15:W15)</f>
        <v>1</v>
      </c>
      <c r="C15" t="str">
        <f>Preliminary!AB30</f>
        <v>United States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2</v>
      </c>
      <c r="I15" s="1">
        <f>SUMIF(Preliminary!$AE:$AE,Dummy!$C15,Preliminary!AJ:AJ)</f>
        <v>1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1</v>
      </c>
      <c r="P15" s="4">
        <f t="shared" si="3"/>
        <v>9000</v>
      </c>
      <c r="Q15" s="1">
        <f>SUMIF(Preliminary!AE:AE,C15,Preliminary!AL:AL)+SUMIF(Preliminary!AO:AO,C15,Preliminary!AV:AV)</f>
        <v>250</v>
      </c>
      <c r="R15" s="1">
        <f>SUMIF(Preliminary!AE:AE,C15,Preliminary!AM:AM)+SUMIF(Preliminary!AO:AO,C15,Preliminary!AW:AW)</f>
        <v>202</v>
      </c>
      <c r="S15" s="4">
        <f t="shared" si="0"/>
        <v>1237.6237623762377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3</v>
      </c>
      <c r="C16" t="str">
        <f>Preliminary!AB31</f>
        <v>Cuba</v>
      </c>
      <c r="D16" s="1">
        <f t="shared" si="1"/>
        <v>3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1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2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5</v>
      </c>
      <c r="O16" s="1">
        <f>SUMIF(Preliminary!AE:AE,C16,Preliminary!AH:AH)+SUMIF(Preliminary!AO:AO,C16,Preliminary!AR:AR)</f>
        <v>6</v>
      </c>
      <c r="P16" s="4">
        <f t="shared" si="3"/>
        <v>833.33333333333337</v>
      </c>
      <c r="Q16" s="1">
        <f>SUMIF(Preliminary!AE:AE,C16,Preliminary!AL:AL)+SUMIF(Preliminary!AO:AO,C16,Preliminary!AV:AV)</f>
        <v>249</v>
      </c>
      <c r="R16" s="1">
        <f>SUMIF(Preliminary!AE:AE,C16,Preliminary!AM:AM)+SUMIF(Preliminary!AO:AO,C16,Preliminary!AW:AW)</f>
        <v>258</v>
      </c>
      <c r="S16" s="4">
        <f t="shared" si="0"/>
        <v>965.11627906976753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2</v>
      </c>
      <c r="C17" t="str">
        <f>Preliminary!AB32</f>
        <v>Portugal</v>
      </c>
      <c r="D17" s="1">
        <f t="shared" si="1"/>
        <v>5</v>
      </c>
      <c r="E17" s="1">
        <f t="shared" si="2"/>
        <v>3</v>
      </c>
      <c r="F17" s="1">
        <f>COUNTIF(Preliminary!AE:AE,Dummy!C17)</f>
        <v>2</v>
      </c>
      <c r="G17" s="1">
        <f>COUNTIF(Preliminary!AO:AO,Dummy!C17)</f>
        <v>1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1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6</v>
      </c>
      <c r="O17" s="1">
        <f>SUMIF(Preliminary!AE:AE,C17,Preliminary!AH:AH)+SUMIF(Preliminary!AO:AO,C17,Preliminary!AR:AR)</f>
        <v>6</v>
      </c>
      <c r="P17" s="4">
        <f t="shared" si="3"/>
        <v>1000</v>
      </c>
      <c r="Q17" s="1">
        <f>SUMIF(Preliminary!AE:AE,C17,Preliminary!AL:AL)+SUMIF(Preliminary!AO:AO,C17,Preliminary!AV:AV)</f>
        <v>262</v>
      </c>
      <c r="R17" s="1">
        <f>SUMIF(Preliminary!AE:AE,C17,Preliminary!AM:AM)+SUMIF(Preliminary!AO:AO,C17,Preliminary!AW:AW)</f>
        <v>262</v>
      </c>
      <c r="S17" s="4">
        <f t="shared" si="0"/>
        <v>1000</v>
      </c>
      <c r="T17" s="1">
        <f t="shared" si="18"/>
        <v>0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4</v>
      </c>
      <c r="C18" t="str">
        <f>Preliminary!AB33</f>
        <v>Colombia</v>
      </c>
      <c r="D18" s="1">
        <f t="shared" si="1"/>
        <v>1</v>
      </c>
      <c r="E18" s="1">
        <f t="shared" si="2"/>
        <v>3</v>
      </c>
      <c r="F18" s="1">
        <f>COUNTIF(Preliminary!AE:AE,Dummy!C18)</f>
        <v>0</v>
      </c>
      <c r="G18" s="1">
        <f>COUNTIF(Preliminary!AO:AO,Dummy!C18)</f>
        <v>3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0</v>
      </c>
      <c r="M18" s="1">
        <f>SUMIF(Preliminary!$AO:$AO,Dummy!$C18,Preliminary!AU:AU)</f>
        <v>2</v>
      </c>
      <c r="N18" s="1">
        <f>SUMIF(Preliminary!AE:AE,C18,Preliminary!AG:AG)+SUMIF(Preliminary!AO:AO,C18,Preliminary!AQ:AQ)</f>
        <v>2</v>
      </c>
      <c r="O18" s="1">
        <f>SUMIF(Preliminary!AE:AE,C18,Preliminary!AH:AH)+SUMIF(Preliminary!AO:AO,C18,Preliminary!AR:AR)</f>
        <v>9</v>
      </c>
      <c r="P18" s="4">
        <f t="shared" si="3"/>
        <v>222.2222222222222</v>
      </c>
      <c r="Q18" s="1">
        <f>SUMIF(Preliminary!AE:AE,C18,Preliminary!AL:AL)+SUMIF(Preliminary!AO:AO,C18,Preliminary!AV:AV)</f>
        <v>220</v>
      </c>
      <c r="R18" s="1">
        <f>SUMIF(Preliminary!AE:AE,C18,Preliminary!AM:AM)+SUMIF(Preliminary!AO:AO,C18,Preliminary!AW:AW)</f>
        <v>259</v>
      </c>
      <c r="S18" s="4">
        <f t="shared" si="0"/>
        <v>849.42084942084944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50</v>
      </c>
      <c r="B19" s="1">
        <f>RANK(F19,$F$19:$F$22)+SUM(T19:W19)</f>
        <v>2</v>
      </c>
      <c r="C19" t="str">
        <f>Preliminary!AB38</f>
        <v>Slovenia</v>
      </c>
      <c r="D19" s="1">
        <f t="shared" si="1"/>
        <v>7</v>
      </c>
      <c r="E19" s="1">
        <f t="shared" si="2"/>
        <v>3</v>
      </c>
      <c r="F19" s="1">
        <f>COUNTIF(Preliminary!AE:AE,Dummy!C19)</f>
        <v>2</v>
      </c>
      <c r="G19" s="1">
        <f>COUNTIF(Preliminary!AO:AO,Dummy!C19)</f>
        <v>1</v>
      </c>
      <c r="H19" s="1">
        <f>SUMIF(Preliminary!$AE:$AE,Dummy!$C19,Preliminary!AI:AI)</f>
        <v>1</v>
      </c>
      <c r="I19" s="1">
        <f>SUMIF(Preliminary!$AE:$AE,Dummy!$C19,Preliminary!AJ:AJ)</f>
        <v>1</v>
      </c>
      <c r="J19" s="1">
        <f>SUMIF(Preliminary!$AE:$AE,Dummy!$C19,Preliminary!AK:AK)</f>
        <v>0</v>
      </c>
      <c r="K19" s="1">
        <f>SUMIF(Preliminary!$AO:$AO,Dummy!$C19,Preliminary!AS:AS)</f>
        <v>1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8</v>
      </c>
      <c r="O19" s="1">
        <f>SUMIF(Preliminary!AE:AE,C19,Preliminary!AH:AH)+SUMIF(Preliminary!AO:AO,C19,Preliminary!AR:AR)</f>
        <v>4</v>
      </c>
      <c r="P19" s="4">
        <f t="shared" si="3"/>
        <v>2000</v>
      </c>
      <c r="Q19" s="1">
        <f>SUMIF(Preliminary!AE:AE,C19,Preliminary!AL:AL)+SUMIF(Preliminary!AO:AO,C19,Preliminary!AV:AV)</f>
        <v>269</v>
      </c>
      <c r="R19" s="1">
        <f>SUMIF(Preliminary!AE:AE,C19,Preliminary!AM:AM)+SUMIF(Preliminary!AO:AO,C19,Preliminary!AW:AW)</f>
        <v>258</v>
      </c>
      <c r="S19" s="4">
        <f t="shared" si="0"/>
        <v>1042.6356589147288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3</v>
      </c>
      <c r="C20" t="str">
        <f>Preliminary!AB39</f>
        <v>Germany</v>
      </c>
      <c r="D20" s="1">
        <f t="shared" si="1"/>
        <v>3</v>
      </c>
      <c r="E20" s="1">
        <f t="shared" si="2"/>
        <v>3</v>
      </c>
      <c r="F20" s="1">
        <f>COUNTIF(Preliminary!AE:AE,Dummy!C20)</f>
        <v>1</v>
      </c>
      <c r="G20" s="1">
        <f>COUNTIF(Preliminary!AO:AO,Dummy!C20)</f>
        <v>2</v>
      </c>
      <c r="H20" s="1">
        <f>SUMIF(Preliminary!$AE:$AE,Dummy!$C20,Preliminary!AI:AI)</f>
        <v>1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1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4</v>
      </c>
      <c r="O20" s="1">
        <f>SUMIF(Preliminary!AE:AE,C20,Preliminary!AH:AH)+SUMIF(Preliminary!AO:AO,C20,Preliminary!AR:AR)</f>
        <v>6</v>
      </c>
      <c r="P20" s="4">
        <f t="shared" si="3"/>
        <v>666.66666666666663</v>
      </c>
      <c r="Q20" s="1">
        <f>SUMIF(Preliminary!AE:AE,C20,Preliminary!AL:AL)+SUMIF(Preliminary!AO:AO,C20,Preliminary!AV:AV)</f>
        <v>252</v>
      </c>
      <c r="R20" s="1">
        <f>SUMIF(Preliminary!AE:AE,C20,Preliminary!AM:AM)+SUMIF(Preliminary!AO:AO,C20,Preliminary!AW:AW)</f>
        <v>249</v>
      </c>
      <c r="S20" s="4">
        <f t="shared" si="0"/>
        <v>1012.0481927710842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1</v>
      </c>
      <c r="C21" t="str">
        <f>Preliminary!AB40</f>
        <v>Bulgaria</v>
      </c>
      <c r="D21" s="1">
        <f t="shared" ref="D21:D34" si="24">SUM(H21*3,I21*3,J21*2,K21)</f>
        <v>8</v>
      </c>
      <c r="E21" s="1">
        <f t="shared" ref="E21:E34" si="25">F21+G21</f>
        <v>3</v>
      </c>
      <c r="F21" s="1">
        <f>COUNTIF(Preliminary!AE:AE,Dummy!C21)</f>
        <v>3</v>
      </c>
      <c r="G21" s="1">
        <f>COUNTIF(Preliminary!AO:AO,Dummy!C21)</f>
        <v>0</v>
      </c>
      <c r="H21" s="1">
        <f>SUMIF(Preliminary!$AE:$AE,Dummy!$C21,Preliminary!AI:AI)</f>
        <v>2</v>
      </c>
      <c r="I21" s="1">
        <f>SUMIF(Preliminary!$AE:$AE,Dummy!$C21,Preliminary!AJ:AJ)</f>
        <v>0</v>
      </c>
      <c r="J21" s="1">
        <f>SUMIF(Preliminary!$AE:$AE,Dummy!$C21,Preliminary!AK:AK)</f>
        <v>1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9</v>
      </c>
      <c r="O21" s="1">
        <f>SUMIF(Preliminary!AE:AE,C21,Preliminary!AH:AH)+SUMIF(Preliminary!AO:AO,C21,Preliminary!AR:AR)</f>
        <v>2</v>
      </c>
      <c r="P21" s="4">
        <f t="shared" ref="P21:P34" si="26">IFERROR((N21/O21)*1000,"MAX")</f>
        <v>4500</v>
      </c>
      <c r="Q21" s="1">
        <f>SUMIF(Preliminary!AE:AE,C21,Preliminary!AL:AL)+SUMIF(Preliminary!AO:AO,C21,Preliminary!AV:AV)</f>
        <v>271</v>
      </c>
      <c r="R21" s="1">
        <f>SUMIF(Preliminary!AE:AE,C21,Preliminary!AM:AM)+SUMIF(Preliminary!AO:AO,C21,Preliminary!AW:AW)</f>
        <v>217</v>
      </c>
      <c r="S21" s="4">
        <f t="shared" ref="S21:S34" si="27">IFERROR((Q21/R21)*1000,"MAX")</f>
        <v>1248.8479262672811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tr">
        <f>Preliminary!AB41</f>
        <v>Chile</v>
      </c>
      <c r="D22" s="1">
        <f t="shared" si="24"/>
        <v>0</v>
      </c>
      <c r="E22" s="1">
        <f t="shared" si="25"/>
        <v>3</v>
      </c>
      <c r="F22" s="1">
        <f>COUNTIF(Preliminary!AE:AE,Dummy!C22)</f>
        <v>0</v>
      </c>
      <c r="G22" s="1">
        <f>COUNTIF(Preliminary!AO:AO,Dummy!C22)</f>
        <v>3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3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9</v>
      </c>
      <c r="P22" s="4">
        <f t="shared" si="26"/>
        <v>0</v>
      </c>
      <c r="Q22" s="1">
        <f>SUMIF(Preliminary!AE:AE,C22,Preliminary!AL:AL)+SUMIF(Preliminary!AO:AO,C22,Preliminary!AV:AV)</f>
        <v>157</v>
      </c>
      <c r="R22" s="1">
        <f>SUMIF(Preliminary!AE:AE,C22,Preliminary!AM:AM)+SUMIF(Preliminary!AO:AO,C22,Preliminary!AW:AW)</f>
        <v>225</v>
      </c>
      <c r="S22" s="4">
        <f t="shared" si="27"/>
        <v>697.77777777777783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51</v>
      </c>
      <c r="B23" s="1">
        <f>RANK(F23,$F$23:$F$26)+SUM(T23:W23)</f>
        <v>2</v>
      </c>
      <c r="C23" t="str">
        <f>Preliminary!AB46</f>
        <v>Italy</v>
      </c>
      <c r="D23" s="1">
        <f t="shared" si="24"/>
        <v>7</v>
      </c>
      <c r="E23" s="1">
        <f t="shared" si="25"/>
        <v>3</v>
      </c>
      <c r="F23" s="1">
        <f>COUNTIF(Preliminary!AE:AE,Dummy!C23)</f>
        <v>2</v>
      </c>
      <c r="G23" s="1">
        <f>COUNTIF(Preliminary!AO:AO,Dummy!C23)</f>
        <v>1</v>
      </c>
      <c r="H23" s="1">
        <f>SUMIF(Preliminary!$AE:$AE,Dummy!$C23,Preliminary!AI:AI)</f>
        <v>2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1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8</v>
      </c>
      <c r="O23" s="1">
        <f>SUMIF(Preliminary!AE:AE,C23,Preliminary!AH:AH)+SUMIF(Preliminary!AO:AO,C23,Preliminary!AR:AR)</f>
        <v>3</v>
      </c>
      <c r="P23" s="4">
        <f t="shared" si="26"/>
        <v>2666.6666666666665</v>
      </c>
      <c r="Q23" s="1">
        <f>SUMIF(Preliminary!AE:AE,C23,Preliminary!AL:AL)+SUMIF(Preliminary!AO:AO,C23,Preliminary!AV:AV)</f>
        <v>256</v>
      </c>
      <c r="R23" s="1">
        <f>SUMIF(Preliminary!AE:AE,C23,Preliminary!AM:AM)+SUMIF(Preliminary!AO:AO,C23,Preliminary!AW:AW)</f>
        <v>221</v>
      </c>
      <c r="S23" s="4">
        <f t="shared" si="27"/>
        <v>1158.3710407239821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3</v>
      </c>
      <c r="C24" t="str">
        <f>Preliminary!AB47</f>
        <v>Ukraine</v>
      </c>
      <c r="D24" s="1">
        <f t="shared" si="24"/>
        <v>3</v>
      </c>
      <c r="E24" s="1">
        <f t="shared" si="25"/>
        <v>3</v>
      </c>
      <c r="F24" s="1">
        <f>COUNTIF(Preliminary!AE:AE,Dummy!C24)</f>
        <v>1</v>
      </c>
      <c r="G24" s="1">
        <f>COUNTIF(Preliminary!AO:AO,Dummy!C24)</f>
        <v>2</v>
      </c>
      <c r="H24" s="1">
        <f>SUMIF(Preliminary!$AE:$AE,Dummy!$C24,Preliminary!AI:AI)</f>
        <v>1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2</v>
      </c>
      <c r="N24" s="1">
        <f>SUMIF(Preliminary!AE:AE,C24,Preliminary!AG:AG)+SUMIF(Preliminary!AO:AO,C24,Preliminary!AQ:AQ)</f>
        <v>3</v>
      </c>
      <c r="O24" s="1">
        <f>SUMIF(Preliminary!AE:AE,C24,Preliminary!AH:AH)+SUMIF(Preliminary!AO:AO,C24,Preliminary!AR:AR)</f>
        <v>6</v>
      </c>
      <c r="P24" s="4">
        <f t="shared" si="26"/>
        <v>500</v>
      </c>
      <c r="Q24" s="1">
        <f>SUMIF(Preliminary!AE:AE,C24,Preliminary!AL:AL)+SUMIF(Preliminary!AO:AO,C24,Preliminary!AV:AV)</f>
        <v>191</v>
      </c>
      <c r="R24" s="1">
        <f>SUMIF(Preliminary!AE:AE,C24,Preliminary!AM:AM)+SUMIF(Preliminary!AO:AO,C24,Preliminary!AW:AW)</f>
        <v>190</v>
      </c>
      <c r="S24" s="4">
        <f t="shared" si="27"/>
        <v>1005.2631578947369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1</v>
      </c>
      <c r="C25" t="str">
        <f>Preliminary!AB48</f>
        <v>Belgium</v>
      </c>
      <c r="D25" s="1">
        <f t="shared" si="24"/>
        <v>8</v>
      </c>
      <c r="E25" s="1">
        <f t="shared" si="25"/>
        <v>3</v>
      </c>
      <c r="F25" s="1">
        <f>COUNTIF(Preliminary!AE:AE,Dummy!C25)</f>
        <v>3</v>
      </c>
      <c r="G25" s="1">
        <f>COUNTIF(Preliminary!AO:AO,Dummy!C25)</f>
        <v>0</v>
      </c>
      <c r="H25" s="1">
        <f>SUMIF(Preliminary!$AE:$AE,Dummy!$C25,Preliminary!AI:AI)</f>
        <v>2</v>
      </c>
      <c r="I25" s="1">
        <f>SUMIF(Preliminary!$AE:$AE,Dummy!$C25,Preliminary!AJ:AJ)</f>
        <v>0</v>
      </c>
      <c r="J25" s="1">
        <f>SUMIF(Preliminary!$AE:$AE,Dummy!$C25,Preliminary!AK:AK)</f>
        <v>1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9</v>
      </c>
      <c r="O25" s="1">
        <f>SUMIF(Preliminary!AE:AE,C25,Preliminary!AH:AH)+SUMIF(Preliminary!AO:AO,C25,Preliminary!AR:AR)</f>
        <v>2</v>
      </c>
      <c r="P25" s="4">
        <f t="shared" si="26"/>
        <v>4500</v>
      </c>
      <c r="Q25" s="1">
        <f>SUMIF(Preliminary!AE:AE,C25,Preliminary!AL:AL)+SUMIF(Preliminary!AO:AO,C25,Preliminary!AV:AV)</f>
        <v>258</v>
      </c>
      <c r="R25" s="1">
        <f>SUMIF(Preliminary!AE:AE,C25,Preliminary!AM:AM)+SUMIF(Preliminary!AO:AO,C25,Preliminary!AW:AW)</f>
        <v>215</v>
      </c>
      <c r="S25" s="4">
        <f t="shared" si="27"/>
        <v>1200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4</v>
      </c>
      <c r="C26" t="str">
        <f>Preliminary!AB49</f>
        <v>Algeria</v>
      </c>
      <c r="D26" s="1">
        <f t="shared" si="24"/>
        <v>0</v>
      </c>
      <c r="E26" s="1">
        <f t="shared" si="25"/>
        <v>3</v>
      </c>
      <c r="F26" s="1">
        <f>COUNTIF(Preliminary!AE:AE,Dummy!C26)</f>
        <v>0</v>
      </c>
      <c r="G26" s="1">
        <f>COUNTIF(Preliminary!AO:AO,Dummy!C26)</f>
        <v>3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3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9</v>
      </c>
      <c r="P26" s="4">
        <f t="shared" si="26"/>
        <v>0</v>
      </c>
      <c r="Q26" s="1">
        <f>SUMIF(Preliminary!AE:AE,C26,Preliminary!AL:AL)+SUMIF(Preliminary!AO:AO,C26,Preliminary!AV:AV)</f>
        <v>146</v>
      </c>
      <c r="R26" s="1">
        <f>SUMIF(Preliminary!AE:AE,C26,Preliminary!AM:AM)+SUMIF(Preliminary!AO:AO,C26,Preliminary!AW:AW)</f>
        <v>225</v>
      </c>
      <c r="S26" s="4">
        <f t="shared" si="27"/>
        <v>648.8888888888888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52</v>
      </c>
      <c r="B27" s="1">
        <f>RANK(F27,$F$27:$F$30)+SUM(T27:W27)</f>
        <v>3</v>
      </c>
      <c r="C27" t="str">
        <f>Preliminary!AB54</f>
        <v>Japan</v>
      </c>
      <c r="D27" s="1">
        <f t="shared" si="24"/>
        <v>3</v>
      </c>
      <c r="E27" s="1">
        <f t="shared" si="25"/>
        <v>3</v>
      </c>
      <c r="F27" s="1">
        <f>COUNTIF(Preliminary!AE:AE,Dummy!C27)</f>
        <v>1</v>
      </c>
      <c r="G27" s="1">
        <f>COUNTIF(Preliminary!AO:AO,Dummy!C27)</f>
        <v>2</v>
      </c>
      <c r="H27" s="1">
        <f>SUMIF(Preliminary!$AE:$AE,Dummy!$C27,Preliminary!AI:AI)</f>
        <v>1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2</v>
      </c>
      <c r="N27" s="1">
        <f>SUMIF(Preliminary!AE:AE,C27,Preliminary!AG:AG)+SUMIF(Preliminary!AO:AO,C27,Preliminary!AQ:AQ)</f>
        <v>3</v>
      </c>
      <c r="O27" s="1">
        <f>SUMIF(Preliminary!AE:AE,C27,Preliminary!AH:AH)+SUMIF(Preliminary!AO:AO,C27,Preliminary!AR:AR)</f>
        <v>6</v>
      </c>
      <c r="P27" s="4">
        <f t="shared" si="26"/>
        <v>500</v>
      </c>
      <c r="Q27" s="1">
        <f>SUMIF(Preliminary!AE:AE,C27,Preliminary!AL:AL)+SUMIF(Preliminary!AO:AO,C27,Preliminary!AV:AV)</f>
        <v>201</v>
      </c>
      <c r="R27" s="1">
        <f>SUMIF(Preliminary!AE:AE,C27,Preliminary!AM:AM)+SUMIF(Preliminary!AO:AO,C27,Preliminary!AW:AW)</f>
        <v>199</v>
      </c>
      <c r="S27" s="4">
        <f t="shared" si="27"/>
        <v>1010.0502512562814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tr">
        <f>Preliminary!AB55</f>
        <v>Canada</v>
      </c>
      <c r="D28" s="1">
        <f t="shared" si="24"/>
        <v>6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1</v>
      </c>
      <c r="I28" s="1">
        <f>SUMIF(Preliminary!$AE:$AE,Dummy!$C28,Preliminary!AJ:AJ)</f>
        <v>1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1</v>
      </c>
      <c r="N28" s="1">
        <f>SUMIF(Preliminary!AE:AE,C28,Preliminary!AG:AG)+SUMIF(Preliminary!AO:AO,C28,Preliminary!AQ:AQ)</f>
        <v>6</v>
      </c>
      <c r="O28" s="1">
        <f>SUMIF(Preliminary!AE:AE,C28,Preliminary!AH:AH)+SUMIF(Preliminary!AO:AO,C28,Preliminary!AR:AR)</f>
        <v>4</v>
      </c>
      <c r="P28" s="4">
        <f t="shared" si="26"/>
        <v>1500</v>
      </c>
      <c r="Q28" s="1">
        <f>SUMIF(Preliminary!AE:AE,C28,Preliminary!AL:AL)+SUMIF(Preliminary!AO:AO,C28,Preliminary!AV:AV)</f>
        <v>238</v>
      </c>
      <c r="R28" s="1">
        <f>SUMIF(Preliminary!AE:AE,C28,Preliminary!AM:AM)+SUMIF(Preliminary!AO:AO,C28,Preliminary!AW:AW)</f>
        <v>226</v>
      </c>
      <c r="S28" s="4">
        <f t="shared" si="27"/>
        <v>1053.0973451327434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1</v>
      </c>
      <c r="C29" t="str">
        <f>Preliminary!AB56</f>
        <v>Turkey</v>
      </c>
      <c r="D29" s="1">
        <f t="shared" si="24"/>
        <v>9</v>
      </c>
      <c r="E29" s="1">
        <f t="shared" si="25"/>
        <v>3</v>
      </c>
      <c r="F29" s="1">
        <f>COUNTIF(Preliminary!AE:AE,Dummy!C29)</f>
        <v>3</v>
      </c>
      <c r="G29" s="1">
        <f>COUNTIF(Preliminary!AO:AO,Dummy!C29)</f>
        <v>0</v>
      </c>
      <c r="H29" s="1">
        <f>SUMIF(Preliminary!$AE:$AE,Dummy!$C29,Preliminary!AI:AI)</f>
        <v>2</v>
      </c>
      <c r="I29" s="1">
        <f>SUMIF(Preliminary!$AE:$AE,Dummy!$C29,Preliminary!AJ:AJ)</f>
        <v>1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9</v>
      </c>
      <c r="O29" s="1">
        <f>SUMIF(Preliminary!AE:AE,C29,Preliminary!AH:AH)+SUMIF(Preliminary!AO:AO,C29,Preliminary!AR:AR)</f>
        <v>1</v>
      </c>
      <c r="P29" s="4">
        <f t="shared" si="26"/>
        <v>9000</v>
      </c>
      <c r="Q29" s="1">
        <f>SUMIF(Preliminary!AE:AE,C29,Preliminary!AL:AL)+SUMIF(Preliminary!AO:AO,C29,Preliminary!AV:AV)</f>
        <v>250</v>
      </c>
      <c r="R29" s="1">
        <f>SUMIF(Preliminary!AE:AE,C29,Preliminary!AM:AM)+SUMIF(Preliminary!AO:AO,C29,Preliminary!AW:AW)</f>
        <v>196</v>
      </c>
      <c r="S29" s="4">
        <f t="shared" si="27"/>
        <v>1275.5102040816325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tr">
        <f>Preliminary!AB57</f>
        <v>Libya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2</v>
      </c>
      <c r="M30" s="1">
        <f>SUMIF(Preliminary!$AO:$AO,Dummy!$C30,Preliminary!AU:AU)</f>
        <v>1</v>
      </c>
      <c r="N30" s="1">
        <f>SUMIF(Preliminary!AE:AE,C30,Preliminary!AG:AG)+SUMIF(Preliminary!AO:AO,C30,Preliminary!AQ:AQ)</f>
        <v>2</v>
      </c>
      <c r="O30" s="1">
        <f>SUMIF(Preliminary!AE:AE,C30,Preliminary!AH:AH)+SUMIF(Preliminary!AO:AO,C30,Preliminary!AR:AR)</f>
        <v>9</v>
      </c>
      <c r="P30" s="4">
        <f t="shared" si="26"/>
        <v>222.2222222222222</v>
      </c>
      <c r="Q30" s="1">
        <f>SUMIF(Preliminary!AE:AE,C30,Preliminary!AL:AL)+SUMIF(Preliminary!AO:AO,C30,Preliminary!AV:AV)</f>
        <v>206</v>
      </c>
      <c r="R30" s="1">
        <f>SUMIF(Preliminary!AE:AE,C30,Preliminary!AM:AM)+SUMIF(Preliminary!AO:AO,C30,Preliminary!AW:AW)</f>
        <v>274</v>
      </c>
      <c r="S30" s="4">
        <f t="shared" si="27"/>
        <v>751.8248175182481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53</v>
      </c>
      <c r="B31" s="1">
        <f>RANK(F31,$F$31:$F$34)+SUM(T31:W31)</f>
        <v>3</v>
      </c>
      <c r="C31" t="str">
        <f>Preliminary!AB62</f>
        <v>Brazil</v>
      </c>
      <c r="D31" s="1">
        <f t="shared" si="24"/>
        <v>6</v>
      </c>
      <c r="E31" s="1">
        <f t="shared" si="25"/>
        <v>3</v>
      </c>
      <c r="F31" s="1">
        <f>COUNTIF(Preliminary!AE:AE,Dummy!C31)</f>
        <v>2</v>
      </c>
      <c r="G31" s="1">
        <f>COUNTIF(Preliminary!AO:AO,Dummy!C31)</f>
        <v>1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1</v>
      </c>
      <c r="N31" s="1">
        <f>SUMIF(Preliminary!AE:AE,C31,Preliminary!AG:AG)+SUMIF(Preliminary!AO:AO,C31,Preliminary!AQ:AQ)</f>
        <v>6</v>
      </c>
      <c r="O31" s="1">
        <f>SUMIF(Preliminary!AE:AE,C31,Preliminary!AH:AH)+SUMIF(Preliminary!AO:AO,C31,Preliminary!AR:AR)</f>
        <v>4</v>
      </c>
      <c r="P31" s="4">
        <f t="shared" si="26"/>
        <v>1500</v>
      </c>
      <c r="Q31" s="1">
        <f>SUMIF(Preliminary!AE:AE,C31,Preliminary!AL:AL)+SUMIF(Preliminary!AO:AO,C31,Preliminary!AV:AV)</f>
        <v>233</v>
      </c>
      <c r="R31" s="1">
        <f>SUMIF(Preliminary!AE:AE,C31,Preliminary!AM:AM)+SUMIF(Preliminary!AO:AO,C31,Preliminary!AW:AW)</f>
        <v>217</v>
      </c>
      <c r="S31" s="4">
        <f t="shared" si="27"/>
        <v>1073.7327188940092</v>
      </c>
      <c r="T31" s="1">
        <f>SUMPRODUCT(($F$31:$F$34=F31)*($D$31:$D$34&gt;D31))</f>
        <v>0</v>
      </c>
      <c r="U31" s="1">
        <f>SUMPRODUCT(($F$31:$F$34=F31)*($D$31:$D$34=D31)*($P$31:$P$34&gt;P31))</f>
        <v>2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1</v>
      </c>
      <c r="C32" t="str">
        <f>Preliminary!AB63</f>
        <v>Serbia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1</v>
      </c>
      <c r="N32" s="1">
        <f>SUMIF(Preliminary!AE:AE,C32,Preliminary!AG:AG)+SUMIF(Preliminary!AO:AO,C32,Preliminary!AQ:AQ)</f>
        <v>6</v>
      </c>
      <c r="O32" s="1">
        <f>SUMIF(Preliminary!AE:AE,C32,Preliminary!AH:AH)+SUMIF(Preliminary!AO:AO,C32,Preliminary!AR:AR)</f>
        <v>3</v>
      </c>
      <c r="P32" s="4">
        <f t="shared" si="26"/>
        <v>2000</v>
      </c>
      <c r="Q32" s="1">
        <f>SUMIF(Preliminary!AE:AE,C32,Preliminary!AL:AL)+SUMIF(Preliminary!AO:AO,C32,Preliminary!AV:AV)</f>
        <v>219</v>
      </c>
      <c r="R32" s="1">
        <f>SUMIF(Preliminary!AE:AE,C32,Preliminary!AM:AM)+SUMIF(Preliminary!AO:AO,C32,Preliminary!AW:AW)</f>
        <v>203</v>
      </c>
      <c r="S32" s="4">
        <f t="shared" si="27"/>
        <v>1078.8177339901476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2</v>
      </c>
      <c r="C33" t="str">
        <f>Preliminary!AB64</f>
        <v>Czech Republic</v>
      </c>
      <c r="D33" s="1">
        <f t="shared" si="24"/>
        <v>6</v>
      </c>
      <c r="E33" s="1">
        <f t="shared" si="25"/>
        <v>3</v>
      </c>
      <c r="F33" s="1">
        <f>COUNTIF(Preliminary!AE:AE,Dummy!C33)</f>
        <v>2</v>
      </c>
      <c r="G33" s="1">
        <f>COUNTIF(Preliminary!AO:AO,Dummy!C33)</f>
        <v>1</v>
      </c>
      <c r="H33" s="1">
        <f>SUMIF(Preliminary!$AE:$AE,Dummy!$C33,Preliminary!AI:AI)</f>
        <v>2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6</v>
      </c>
      <c r="O33" s="1">
        <f>SUMIF(Preliminary!AE:AE,C33,Preliminary!AH:AH)+SUMIF(Preliminary!AO:AO,C33,Preliminary!AR:AR)</f>
        <v>3</v>
      </c>
      <c r="P33" s="4">
        <f t="shared" si="26"/>
        <v>2000</v>
      </c>
      <c r="Q33" s="1">
        <f>SUMIF(Preliminary!AE:AE,C33,Preliminary!AL:AL)+SUMIF(Preliminary!AO:AO,C33,Preliminary!AV:AV)</f>
        <v>202</v>
      </c>
      <c r="R33" s="1">
        <f>SUMIF(Preliminary!AE:AE,C33,Preliminary!AM:AM)+SUMIF(Preliminary!AO:AO,C33,Preliminary!AW:AW)</f>
        <v>201</v>
      </c>
      <c r="S33" s="4">
        <f t="shared" si="27"/>
        <v>1004.9751243781095</v>
      </c>
      <c r="T33" s="1">
        <f t="shared" si="35"/>
        <v>0</v>
      </c>
      <c r="U33" s="1">
        <f t="shared" si="36"/>
        <v>0</v>
      </c>
      <c r="V33" s="1">
        <f t="shared" si="37"/>
        <v>1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tr">
        <f>Preliminary!AB65</f>
        <v>China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1</v>
      </c>
      <c r="M34" s="1">
        <f>SUMIF(Preliminary!$AO:$AO,Dummy!$C34,Preliminary!AU:AU)</f>
        <v>2</v>
      </c>
      <c r="N34" s="1">
        <f>SUMIF(Preliminary!AE:AE,C34,Preliminary!AG:AG)+SUMIF(Preliminary!AO:AO,C34,Preliminary!AQ:AQ)</f>
        <v>1</v>
      </c>
      <c r="O34" s="1">
        <f>SUMIF(Preliminary!AE:AE,C34,Preliminary!AH:AH)+SUMIF(Preliminary!AO:AO,C34,Preliminary!AR:AR)</f>
        <v>9</v>
      </c>
      <c r="P34" s="4">
        <f t="shared" si="26"/>
        <v>111.1111111111111</v>
      </c>
      <c r="Q34" s="1">
        <f>SUMIF(Preliminary!AE:AE,C34,Preliminary!AL:AL)+SUMIF(Preliminary!AO:AO,C34,Preliminary!AV:AV)</f>
        <v>216</v>
      </c>
      <c r="R34" s="1">
        <f>SUMIF(Preliminary!AE:AE,C34,Preliminary!AM:AM)+SUMIF(Preliminary!AO:AO,C34,Preliminary!AW:AW)</f>
        <v>249</v>
      </c>
      <c r="S34" s="4">
        <f t="shared" si="27"/>
        <v>867.46987951807228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A23:A26"/>
    <mergeCell ref="A27:A30"/>
    <mergeCell ref="A31:A34"/>
    <mergeCell ref="A3:A6"/>
    <mergeCell ref="A7:A10"/>
    <mergeCell ref="A11:A14"/>
    <mergeCell ref="A15:A18"/>
    <mergeCell ref="A19:A22"/>
    <mergeCell ref="E1:G1"/>
    <mergeCell ref="H1:M1"/>
    <mergeCell ref="N1:P1"/>
    <mergeCell ref="Q1:S1"/>
    <mergeCell ref="T1:X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3.5703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8" width="3.28515625" style="12" hidden="1" customWidth="1"/>
    <col min="39" max="39" width="3.42578125" style="12" hidden="1" customWidth="1"/>
    <col min="40" max="40" width="3.710937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8" width="3.28515625" style="12" hidden="1" customWidth="1"/>
    <col min="49" max="49" width="3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75" t="s">
        <v>72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76" t="s">
        <v>46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</row>
    <row r="5" spans="2:67" x14ac:dyDescent="0.25">
      <c r="B5" s="34" t="s">
        <v>54</v>
      </c>
      <c r="C5" s="35"/>
      <c r="D5" s="58" t="s">
        <v>55</v>
      </c>
      <c r="E5" s="58"/>
      <c r="F5" s="58"/>
      <c r="G5" s="36"/>
      <c r="H5" s="57" t="s">
        <v>56</v>
      </c>
      <c r="I5" s="56"/>
      <c r="J5" s="56"/>
      <c r="K5" s="57" t="s">
        <v>57</v>
      </c>
      <c r="L5" s="56"/>
      <c r="M5" s="56"/>
      <c r="N5" s="57" t="s">
        <v>58</v>
      </c>
      <c r="O5" s="56"/>
      <c r="P5" s="56"/>
      <c r="Q5" s="57" t="s">
        <v>59</v>
      </c>
      <c r="R5" s="56"/>
      <c r="S5" s="56"/>
      <c r="T5" s="57" t="s">
        <v>60</v>
      </c>
      <c r="U5" s="56"/>
      <c r="V5" s="56"/>
      <c r="W5" s="56" t="s">
        <v>1</v>
      </c>
      <c r="X5" s="56"/>
      <c r="Y5" s="56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72" t="s">
        <v>61</v>
      </c>
      <c r="AY5" s="73"/>
      <c r="AZ5" s="74"/>
      <c r="BA5" s="72" t="s">
        <v>62</v>
      </c>
      <c r="BB5" s="73"/>
      <c r="BC5" s="74"/>
      <c r="BD5" s="72" t="s">
        <v>63</v>
      </c>
      <c r="BE5" s="73"/>
      <c r="BF5" s="73"/>
      <c r="BG5" s="73"/>
      <c r="BH5" s="73"/>
      <c r="BI5" s="74"/>
      <c r="BJ5" s="72" t="s">
        <v>30</v>
      </c>
      <c r="BK5" s="73"/>
      <c r="BL5" s="74"/>
      <c r="BM5" s="72" t="s">
        <v>64</v>
      </c>
      <c r="BN5" s="73"/>
      <c r="BO5" s="74"/>
    </row>
    <row r="6" spans="2:67" x14ac:dyDescent="0.25">
      <c r="B6" s="23">
        <v>45914</v>
      </c>
      <c r="C6" s="24" t="str">
        <f>AB7</f>
        <v>Iran</v>
      </c>
      <c r="D6" s="48">
        <v>1</v>
      </c>
      <c r="E6" s="49" t="s">
        <v>0</v>
      </c>
      <c r="F6" s="47">
        <v>3</v>
      </c>
      <c r="G6" s="25" t="str">
        <f>AB8</f>
        <v>Egypt</v>
      </c>
      <c r="H6" s="28">
        <v>17</v>
      </c>
      <c r="I6" s="29" t="s">
        <v>0</v>
      </c>
      <c r="J6" s="30">
        <v>25</v>
      </c>
      <c r="K6" s="28">
        <v>25</v>
      </c>
      <c r="L6" s="29" t="s">
        <v>0</v>
      </c>
      <c r="M6" s="30">
        <v>16</v>
      </c>
      <c r="N6" s="28">
        <v>23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/>
      <c r="U6" s="29" t="s">
        <v>0</v>
      </c>
      <c r="V6" s="30"/>
      <c r="W6" s="31">
        <f>SUM(H6,K6,N6,Q6,T6)</f>
        <v>85</v>
      </c>
      <c r="X6" s="29" t="s">
        <v>0</v>
      </c>
      <c r="Y6" s="32">
        <f>SUM(J6,M6,P6,S6,V6)</f>
        <v>91</v>
      </c>
      <c r="AA6" s="12">
        <v>1</v>
      </c>
      <c r="AB6" s="12" t="s">
        <v>79</v>
      </c>
      <c r="AD6" s="12">
        <f>AG6+AH6</f>
        <v>4</v>
      </c>
      <c r="AE6" s="12" t="str">
        <f>IF(OR(D6="",F6=""),0,IF(D6&gt;F6,C6,G6))</f>
        <v>Egypt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1</v>
      </c>
      <c r="AI6" s="12">
        <f>IF(AND(AG6=3,AH6=0),1,0)</f>
        <v>0</v>
      </c>
      <c r="AJ6" s="12">
        <f>IF(AND(AG6=3,AH6=1),1,0)</f>
        <v>1</v>
      </c>
      <c r="AK6" s="12">
        <f>IF(AND(AG6=3,AH6=2),1,0)</f>
        <v>0</v>
      </c>
      <c r="AL6" s="12">
        <f>IF(D6&gt;F6,SUM(H6,K6,N6,Q6,T6,),SUM(J6,M6,P6,S6,V6))</f>
        <v>91</v>
      </c>
      <c r="AM6" s="12">
        <f>IF(D6&gt;F6,SUM(J6,M6,P6,S6,V6),SUM(H6,K6,N6,Q6,T6))</f>
        <v>85</v>
      </c>
      <c r="AO6" s="12" t="str">
        <f>IF(OR(D6="",F6=""),0,IF(D6&lt;F6,C6,G6))</f>
        <v>Iran</v>
      </c>
      <c r="AP6" s="12">
        <f>IF(OR(D6="",F6=""),0,1)</f>
        <v>1</v>
      </c>
      <c r="AQ6" s="12">
        <f>IF(OR(D6="",F6=""),0,IF(D6&lt;F6,D6,F6))</f>
        <v>1</v>
      </c>
      <c r="AR6" s="12">
        <f>IF(OR(D6="",F6=""),0,IF(D6&lt;F6,F6,D6))</f>
        <v>3</v>
      </c>
      <c r="AS6" s="12">
        <f>IF(AND(AQ6=2,AR6=3),1,0)</f>
        <v>0</v>
      </c>
      <c r="AT6" s="12">
        <f>IF(AND(AQ6=1,AR6=3),1,0)</f>
        <v>1</v>
      </c>
      <c r="AU6" s="12">
        <f>IF(AND(AQ6=0,AR6=3),1,0)</f>
        <v>0</v>
      </c>
      <c r="AV6" s="12">
        <f>IF(D6&lt;F6,SUM(H6,K6,N6,Q6,T6,),SUM(J6,M6,P6,S6,V6))</f>
        <v>85</v>
      </c>
      <c r="AW6" s="12">
        <f>IF(D6&lt;F6,SUM(J6,M6,P6,S6,V6),SUM(H6,K6,N6,Q6,T6))</f>
        <v>91</v>
      </c>
      <c r="AX6" s="27" t="s">
        <v>24</v>
      </c>
      <c r="AY6" s="27" t="s">
        <v>65</v>
      </c>
      <c r="AZ6" s="27" t="s">
        <v>26</v>
      </c>
      <c r="BA6" s="27" t="s">
        <v>66</v>
      </c>
      <c r="BB6" s="27" t="s">
        <v>67</v>
      </c>
      <c r="BC6" s="27" t="s">
        <v>68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67</v>
      </c>
      <c r="BK6" s="27" t="s">
        <v>68</v>
      </c>
      <c r="BL6" s="27" t="s">
        <v>69</v>
      </c>
      <c r="BM6" s="27" t="s">
        <v>67</v>
      </c>
      <c r="BN6" s="27" t="s">
        <v>68</v>
      </c>
      <c r="BO6" s="27" t="s">
        <v>70</v>
      </c>
    </row>
    <row r="7" spans="2:67" x14ac:dyDescent="0.25">
      <c r="B7" s="23">
        <v>45912</v>
      </c>
      <c r="C7" s="24" t="str">
        <f>AB6</f>
        <v>Philippines</v>
      </c>
      <c r="D7" s="48">
        <v>0</v>
      </c>
      <c r="E7" s="49" t="s">
        <v>0</v>
      </c>
      <c r="F7" s="47">
        <v>3</v>
      </c>
      <c r="G7" s="25" t="str">
        <f>AB9</f>
        <v>Tunisia</v>
      </c>
      <c r="H7" s="28">
        <v>13</v>
      </c>
      <c r="I7" s="29" t="s">
        <v>0</v>
      </c>
      <c r="J7" s="30">
        <v>25</v>
      </c>
      <c r="K7" s="28">
        <v>17</v>
      </c>
      <c r="L7" s="29" t="s">
        <v>0</v>
      </c>
      <c r="M7" s="30">
        <v>25</v>
      </c>
      <c r="N7" s="28">
        <v>23</v>
      </c>
      <c r="O7" s="29" t="s">
        <v>0</v>
      </c>
      <c r="P7" s="30">
        <v>25</v>
      </c>
      <c r="Q7" s="28"/>
      <c r="R7" s="29" t="s">
        <v>0</v>
      </c>
      <c r="S7" s="30"/>
      <c r="T7" s="28"/>
      <c r="U7" s="29" t="s">
        <v>0</v>
      </c>
      <c r="V7" s="30"/>
      <c r="W7" s="31">
        <f t="shared" ref="W7:W11" si="0">SUM(H7,K7,N7,Q7,T7)</f>
        <v>53</v>
      </c>
      <c r="X7" s="29" t="s">
        <v>0</v>
      </c>
      <c r="Y7" s="32">
        <f t="shared" ref="Y7:Y11" si="1">SUM(J7,M7,P7,S7,V7)</f>
        <v>75</v>
      </c>
      <c r="AA7" s="12">
        <v>2</v>
      </c>
      <c r="AB7" s="12" t="s">
        <v>80</v>
      </c>
      <c r="AD7" s="12">
        <f t="shared" ref="AD7:AD11" si="2">AG7+AH7</f>
        <v>3</v>
      </c>
      <c r="AE7" s="12" t="str">
        <f t="shared" ref="AE7:AE11" si="3">IF(OR(D7="",F7=""),0,IF(D7&gt;F7,C7,G7))</f>
        <v>Tunisia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0</v>
      </c>
      <c r="AI7" s="12">
        <f t="shared" ref="AI7:AI11" si="7">IF(AND(AG7=3,AH7=0),1,0)</f>
        <v>1</v>
      </c>
      <c r="AJ7" s="12">
        <f t="shared" ref="AJ7:AJ11" si="8">IF(AND(AG7=3,AH7=1),1,0)</f>
        <v>0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75</v>
      </c>
      <c r="AM7" s="12">
        <f t="shared" ref="AM7:AM11" si="11">IF(D7&gt;F7,SUM(J7,M7,P7,S7,V7),SUM(H7,K7,N7,Q7,T7))</f>
        <v>53</v>
      </c>
      <c r="AO7" s="12" t="str">
        <f t="shared" ref="AO7:AO11" si="12">IF(OR(D7="",F7=""),0,IF(D7&lt;F7,C7,G7))</f>
        <v>Philippines</v>
      </c>
      <c r="AP7" s="12">
        <f t="shared" ref="AP7:AP11" si="13">IF(OR(D7="",F7=""),0,1)</f>
        <v>1</v>
      </c>
      <c r="AQ7" s="12">
        <f t="shared" ref="AQ7:AQ11" si="14">IF(OR(D7="",F7=""),0,IF(D7&lt;F7,D7,F7))</f>
        <v>0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0</v>
      </c>
      <c r="AU7" s="12">
        <f t="shared" ref="AU7:AU11" si="18">IF(AND(AQ7=0,AR7=3),1,0)</f>
        <v>1</v>
      </c>
      <c r="AV7" s="12">
        <f t="shared" ref="AV7:AV11" si="19">IF(D7&lt;F7,SUM(H7,K7,N7,Q7,T7,),SUM(J7,M7,P7,S7,V7))</f>
        <v>53</v>
      </c>
      <c r="AW7" s="12">
        <f t="shared" ref="AW7:AW11" si="20">IF(D7&lt;F7,SUM(J7,M7,P7,S7,V7),SUM(H7,K7,N7,Q7,T7))</f>
        <v>75</v>
      </c>
      <c r="AX7" s="50">
        <v>1</v>
      </c>
      <c r="AY7" s="51" t="str">
        <f>VLOOKUP($AX7,Dummy!$B$3:$S$6,2,FALSE)</f>
        <v>Tunisia</v>
      </c>
      <c r="AZ7" s="50">
        <f>VLOOKUP($AX7,Dummy!$B$3:$S$6,3,FALSE)</f>
        <v>6</v>
      </c>
      <c r="BA7" s="50">
        <f>VLOOKUP($AX7,Dummy!$B$3:$S$6,4,FALSE)</f>
        <v>3</v>
      </c>
      <c r="BB7" s="50">
        <f>VLOOKUP($AX7,Dummy!$B$3:$S$6,5,FALSE)</f>
        <v>2</v>
      </c>
      <c r="BC7" s="50">
        <f>VLOOKUP($AX7,Dummy!$B$3:$S$6,6,FALSE)</f>
        <v>1</v>
      </c>
      <c r="BD7" s="50">
        <f>VLOOKUP($AX7,Dummy!$B$3:$S$6,7,FALSE)</f>
        <v>2</v>
      </c>
      <c r="BE7" s="50">
        <f>VLOOKUP($AX7,Dummy!$B$3:$S$6,8,FALSE)</f>
        <v>0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1</v>
      </c>
      <c r="BI7" s="50">
        <f>VLOOKUP($AX7,Dummy!$B$3:$S$6,12,FALSE)</f>
        <v>0</v>
      </c>
      <c r="BJ7" s="50">
        <f>VLOOKUP($AX7,Dummy!$B$3:$S$6,13,FALSE)</f>
        <v>7</v>
      </c>
      <c r="BK7" s="50">
        <f>VLOOKUP($AX7,Dummy!$B$3:$S$6,14,FALSE)</f>
        <v>3</v>
      </c>
      <c r="BL7" s="52">
        <f>VLOOKUP($AX7,Dummy!$B$3:$S$6,15,FALSE)</f>
        <v>2333.3333333333335</v>
      </c>
      <c r="BM7" s="50">
        <f>VLOOKUP($AX7,Dummy!$B$3:$S$6,16,FALSE)</f>
        <v>234</v>
      </c>
      <c r="BN7" s="50">
        <f>VLOOKUP($AX7,Dummy!$B$3:$S$6,17,FALSE)</f>
        <v>210</v>
      </c>
      <c r="BO7" s="52">
        <f>VLOOKUP($AX7,Dummy!$B$3:$S$6,18,FALSE)</f>
        <v>1114.2857142857142</v>
      </c>
    </row>
    <row r="8" spans="2:67" x14ac:dyDescent="0.25">
      <c r="B8" s="23">
        <v>45916</v>
      </c>
      <c r="C8" s="24" t="str">
        <f>AB7</f>
        <v>Iran</v>
      </c>
      <c r="D8" s="48">
        <v>3</v>
      </c>
      <c r="E8" s="49" t="s">
        <v>0</v>
      </c>
      <c r="F8" s="47">
        <v>1</v>
      </c>
      <c r="G8" s="25" t="str">
        <f>AB9</f>
        <v>Tunisia</v>
      </c>
      <c r="H8" s="28">
        <v>23</v>
      </c>
      <c r="I8" s="29" t="s">
        <v>0</v>
      </c>
      <c r="J8" s="30">
        <v>25</v>
      </c>
      <c r="K8" s="28">
        <v>25</v>
      </c>
      <c r="L8" s="29" t="s">
        <v>0</v>
      </c>
      <c r="M8" s="30">
        <v>20</v>
      </c>
      <c r="N8" s="28">
        <v>25</v>
      </c>
      <c r="O8" s="29" t="s">
        <v>0</v>
      </c>
      <c r="P8" s="30">
        <v>23</v>
      </c>
      <c r="Q8" s="28">
        <v>25</v>
      </c>
      <c r="R8" s="29" t="s">
        <v>0</v>
      </c>
      <c r="S8" s="30">
        <v>16</v>
      </c>
      <c r="T8" s="28"/>
      <c r="U8" s="29" t="s">
        <v>0</v>
      </c>
      <c r="V8" s="30"/>
      <c r="W8" s="31">
        <f t="shared" si="0"/>
        <v>98</v>
      </c>
      <c r="X8" s="29" t="s">
        <v>0</v>
      </c>
      <c r="Y8" s="32">
        <f t="shared" si="1"/>
        <v>84</v>
      </c>
      <c r="AA8" s="12">
        <v>3</v>
      </c>
      <c r="AB8" s="12" t="s">
        <v>81</v>
      </c>
      <c r="AD8" s="12">
        <f t="shared" si="2"/>
        <v>4</v>
      </c>
      <c r="AE8" s="12" t="str">
        <f t="shared" si="3"/>
        <v>Iran</v>
      </c>
      <c r="AF8" s="12">
        <f t="shared" si="4"/>
        <v>1</v>
      </c>
      <c r="AG8" s="12">
        <f t="shared" si="5"/>
        <v>3</v>
      </c>
      <c r="AH8" s="12">
        <f t="shared" si="6"/>
        <v>1</v>
      </c>
      <c r="AI8" s="12">
        <f t="shared" si="7"/>
        <v>0</v>
      </c>
      <c r="AJ8" s="12">
        <f t="shared" si="8"/>
        <v>1</v>
      </c>
      <c r="AK8" s="12">
        <f t="shared" si="9"/>
        <v>0</v>
      </c>
      <c r="AL8" s="12">
        <f t="shared" si="10"/>
        <v>98</v>
      </c>
      <c r="AM8" s="12">
        <f t="shared" si="11"/>
        <v>84</v>
      </c>
      <c r="AO8" s="12" t="str">
        <f t="shared" si="12"/>
        <v>Tunisia</v>
      </c>
      <c r="AP8" s="12">
        <f t="shared" si="13"/>
        <v>1</v>
      </c>
      <c r="AQ8" s="12">
        <f t="shared" si="14"/>
        <v>1</v>
      </c>
      <c r="AR8" s="12">
        <f t="shared" si="15"/>
        <v>3</v>
      </c>
      <c r="AS8" s="12">
        <f t="shared" si="16"/>
        <v>0</v>
      </c>
      <c r="AT8" s="12">
        <f t="shared" si="17"/>
        <v>1</v>
      </c>
      <c r="AU8" s="12">
        <f t="shared" si="18"/>
        <v>0</v>
      </c>
      <c r="AV8" s="12">
        <f t="shared" si="19"/>
        <v>84</v>
      </c>
      <c r="AW8" s="12">
        <f t="shared" si="20"/>
        <v>98</v>
      </c>
      <c r="AX8" s="50">
        <v>2</v>
      </c>
      <c r="AY8" s="51" t="str">
        <f>VLOOKUP($AX8,Dummy!$B$3:$S$6,2,FALSE)</f>
        <v>Iran</v>
      </c>
      <c r="AZ8" s="50">
        <f>VLOOKUP($AX8,Dummy!$B$3:$S$6,3,FALSE)</f>
        <v>5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0</v>
      </c>
      <c r="BE8" s="50">
        <f>VLOOKUP($AX8,Dummy!$B$3:$S$6,8,FALSE)</f>
        <v>1</v>
      </c>
      <c r="BF8" s="50">
        <f>VLOOKUP($AX8,Dummy!$B$3:$S$6,9,FALSE)</f>
        <v>1</v>
      </c>
      <c r="BG8" s="50">
        <f>VLOOKUP($AX8,Dummy!$B$3:$S$6,10,FALSE)</f>
        <v>0</v>
      </c>
      <c r="BH8" s="50">
        <f>VLOOKUP($AX8,Dummy!$B$3:$S$6,11,FALSE)</f>
        <v>1</v>
      </c>
      <c r="BI8" s="50">
        <f>VLOOKUP($AX8,Dummy!$B$3:$S$6,12,FALSE)</f>
        <v>0</v>
      </c>
      <c r="BJ8" s="50">
        <f>VLOOKUP($AX8,Dummy!$B$3:$S$6,13,FALSE)</f>
        <v>7</v>
      </c>
      <c r="BK8" s="50">
        <f>VLOOKUP($AX8,Dummy!$B$3:$S$6,14,FALSE)</f>
        <v>6</v>
      </c>
      <c r="BL8" s="52">
        <f>VLOOKUP($AX8,Dummy!$B$3:$S$6,15,FALSE)</f>
        <v>1166.6666666666667</v>
      </c>
      <c r="BM8" s="50">
        <f>VLOOKUP($AX8,Dummy!$B$3:$S$6,16,FALSE)</f>
        <v>293</v>
      </c>
      <c r="BN8" s="50">
        <f>VLOOKUP($AX8,Dummy!$B$3:$S$6,17,FALSE)</f>
        <v>289</v>
      </c>
      <c r="BO8" s="52">
        <f>VLOOKUP($AX8,Dummy!$B$3:$S$6,18,FALSE)</f>
        <v>1013.840830449827</v>
      </c>
    </row>
    <row r="9" spans="2:67" x14ac:dyDescent="0.25">
      <c r="B9" s="23">
        <v>45916</v>
      </c>
      <c r="C9" s="24" t="str">
        <f>AB6</f>
        <v>Philippines</v>
      </c>
      <c r="D9" s="48">
        <v>3</v>
      </c>
      <c r="E9" s="49" t="s">
        <v>0</v>
      </c>
      <c r="F9" s="47">
        <v>1</v>
      </c>
      <c r="G9" s="25" t="str">
        <f>AB8</f>
        <v>Egypt</v>
      </c>
      <c r="H9" s="28">
        <v>29</v>
      </c>
      <c r="I9" s="29" t="s">
        <v>0</v>
      </c>
      <c r="J9" s="30">
        <v>27</v>
      </c>
      <c r="K9" s="28">
        <v>23</v>
      </c>
      <c r="L9" s="29" t="s">
        <v>0</v>
      </c>
      <c r="M9" s="30">
        <v>25</v>
      </c>
      <c r="N9" s="28">
        <v>25</v>
      </c>
      <c r="O9" s="29" t="s">
        <v>0</v>
      </c>
      <c r="P9" s="30">
        <v>21</v>
      </c>
      <c r="Q9" s="28">
        <v>25</v>
      </c>
      <c r="R9" s="29" t="s">
        <v>0</v>
      </c>
      <c r="S9" s="30">
        <v>21</v>
      </c>
      <c r="T9" s="28"/>
      <c r="U9" s="29" t="s">
        <v>0</v>
      </c>
      <c r="V9" s="30"/>
      <c r="W9" s="31">
        <f t="shared" si="0"/>
        <v>102</v>
      </c>
      <c r="X9" s="29" t="s">
        <v>0</v>
      </c>
      <c r="Y9" s="32">
        <f t="shared" si="1"/>
        <v>94</v>
      </c>
      <c r="AA9" s="12">
        <v>4</v>
      </c>
      <c r="AB9" s="12" t="s">
        <v>82</v>
      </c>
      <c r="AD9" s="12">
        <f t="shared" si="2"/>
        <v>4</v>
      </c>
      <c r="AE9" s="12" t="str">
        <f t="shared" si="3"/>
        <v>Philippines</v>
      </c>
      <c r="AF9" s="12">
        <f t="shared" si="4"/>
        <v>1</v>
      </c>
      <c r="AG9" s="12">
        <f t="shared" si="5"/>
        <v>3</v>
      </c>
      <c r="AH9" s="12">
        <f t="shared" si="6"/>
        <v>1</v>
      </c>
      <c r="AI9" s="12">
        <f t="shared" si="7"/>
        <v>0</v>
      </c>
      <c r="AJ9" s="12">
        <f t="shared" si="8"/>
        <v>1</v>
      </c>
      <c r="AK9" s="12">
        <f t="shared" si="9"/>
        <v>0</v>
      </c>
      <c r="AL9" s="12">
        <f t="shared" si="10"/>
        <v>102</v>
      </c>
      <c r="AM9" s="12">
        <f t="shared" si="11"/>
        <v>94</v>
      </c>
      <c r="AO9" s="12" t="str">
        <f t="shared" si="12"/>
        <v>Egypt</v>
      </c>
      <c r="AP9" s="12">
        <f t="shared" si="13"/>
        <v>1</v>
      </c>
      <c r="AQ9" s="12">
        <f t="shared" si="14"/>
        <v>1</v>
      </c>
      <c r="AR9" s="12">
        <f t="shared" si="15"/>
        <v>3</v>
      </c>
      <c r="AS9" s="12">
        <f t="shared" si="16"/>
        <v>0</v>
      </c>
      <c r="AT9" s="12">
        <f t="shared" si="17"/>
        <v>1</v>
      </c>
      <c r="AU9" s="12">
        <f t="shared" si="18"/>
        <v>0</v>
      </c>
      <c r="AV9" s="12">
        <f t="shared" si="19"/>
        <v>94</v>
      </c>
      <c r="AW9" s="12">
        <f t="shared" si="20"/>
        <v>102</v>
      </c>
      <c r="AX9" s="50">
        <v>3</v>
      </c>
      <c r="AY9" s="51" t="str">
        <f>VLOOKUP($AX9,Dummy!$B$3:$S$6,2,FALSE)</f>
        <v>Philippines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269</v>
      </c>
      <c r="BN9" s="50">
        <f>VLOOKUP($AX9,Dummy!$B$3:$S$6,17,FALSE)</f>
        <v>279</v>
      </c>
      <c r="BO9" s="52">
        <f>VLOOKUP($AX9,Dummy!$B$3:$S$6,18,FALSE)</f>
        <v>964.15770609318997</v>
      </c>
    </row>
    <row r="10" spans="2:67" x14ac:dyDescent="0.25">
      <c r="B10" s="23">
        <v>45918</v>
      </c>
      <c r="C10" s="24" t="str">
        <f>AB8</f>
        <v>Egypt</v>
      </c>
      <c r="D10" s="48">
        <v>0</v>
      </c>
      <c r="E10" s="49" t="s">
        <v>0</v>
      </c>
      <c r="F10" s="47">
        <v>3</v>
      </c>
      <c r="G10" s="25" t="str">
        <f>AB9</f>
        <v>Tunisia</v>
      </c>
      <c r="H10" s="28">
        <v>19</v>
      </c>
      <c r="I10" s="29" t="s">
        <v>0</v>
      </c>
      <c r="J10" s="30">
        <v>25</v>
      </c>
      <c r="K10" s="28">
        <v>18</v>
      </c>
      <c r="L10" s="29" t="s">
        <v>0</v>
      </c>
      <c r="M10" s="30">
        <v>25</v>
      </c>
      <c r="N10" s="28">
        <v>22</v>
      </c>
      <c r="O10" s="29" t="s">
        <v>0</v>
      </c>
      <c r="P10" s="30">
        <v>25</v>
      </c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59</v>
      </c>
      <c r="X10" s="29" t="s">
        <v>0</v>
      </c>
      <c r="Y10" s="32">
        <f t="shared" si="1"/>
        <v>75</v>
      </c>
      <c r="AD10" s="12">
        <f t="shared" si="2"/>
        <v>3</v>
      </c>
      <c r="AE10" s="12" t="str">
        <f t="shared" si="3"/>
        <v>Tunisia</v>
      </c>
      <c r="AF10" s="12">
        <f t="shared" si="4"/>
        <v>1</v>
      </c>
      <c r="AG10" s="12">
        <f t="shared" si="5"/>
        <v>3</v>
      </c>
      <c r="AH10" s="12">
        <f t="shared" si="6"/>
        <v>0</v>
      </c>
      <c r="AI10" s="12">
        <f t="shared" si="7"/>
        <v>1</v>
      </c>
      <c r="AJ10" s="12">
        <f t="shared" si="8"/>
        <v>0</v>
      </c>
      <c r="AK10" s="12">
        <f t="shared" si="9"/>
        <v>0</v>
      </c>
      <c r="AL10" s="12">
        <f t="shared" si="10"/>
        <v>75</v>
      </c>
      <c r="AM10" s="12">
        <f t="shared" si="11"/>
        <v>59</v>
      </c>
      <c r="AO10" s="12" t="str">
        <f t="shared" si="12"/>
        <v>Egypt</v>
      </c>
      <c r="AP10" s="12">
        <f t="shared" si="13"/>
        <v>1</v>
      </c>
      <c r="AQ10" s="12">
        <f t="shared" si="14"/>
        <v>0</v>
      </c>
      <c r="AR10" s="12">
        <f t="shared" si="15"/>
        <v>3</v>
      </c>
      <c r="AS10" s="12">
        <f t="shared" si="16"/>
        <v>0</v>
      </c>
      <c r="AT10" s="12">
        <f t="shared" si="17"/>
        <v>0</v>
      </c>
      <c r="AU10" s="12">
        <f t="shared" si="18"/>
        <v>1</v>
      </c>
      <c r="AV10" s="12">
        <f t="shared" si="19"/>
        <v>59</v>
      </c>
      <c r="AW10" s="12">
        <f t="shared" si="20"/>
        <v>75</v>
      </c>
      <c r="AX10" s="50">
        <v>4</v>
      </c>
      <c r="AY10" s="51" t="str">
        <f>VLOOKUP($AX10,Dummy!$B$3:$S$6,2,FALSE)</f>
        <v>Egypt</v>
      </c>
      <c r="AZ10" s="50">
        <f>VLOOKUP($AX10,Dummy!$B$3:$S$6,3,FALSE)</f>
        <v>3</v>
      </c>
      <c r="BA10" s="50">
        <f>VLOOKUP($AX10,Dummy!$B$3:$S$6,4,FALSE)</f>
        <v>3</v>
      </c>
      <c r="BB10" s="50">
        <f>VLOOKUP($AX10,Dummy!$B$3:$S$6,5,FALSE)</f>
        <v>1</v>
      </c>
      <c r="BC10" s="50">
        <f>VLOOKUP($AX10,Dummy!$B$3:$S$6,6,FALSE)</f>
        <v>2</v>
      </c>
      <c r="BD10" s="50">
        <f>VLOOKUP($AX10,Dummy!$B$3:$S$6,7,FALSE)</f>
        <v>0</v>
      </c>
      <c r="BE10" s="50">
        <f>VLOOKUP($AX10,Dummy!$B$3:$S$6,8,FALSE)</f>
        <v>1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1</v>
      </c>
      <c r="BI10" s="50">
        <f>VLOOKUP($AX10,Dummy!$B$3:$S$6,12,FALSE)</f>
        <v>1</v>
      </c>
      <c r="BJ10" s="50">
        <f>VLOOKUP($AX10,Dummy!$B$3:$S$6,13,FALSE)</f>
        <v>4</v>
      </c>
      <c r="BK10" s="50">
        <f>VLOOKUP($AX10,Dummy!$B$3:$S$6,14,FALSE)</f>
        <v>7</v>
      </c>
      <c r="BL10" s="52">
        <f>VLOOKUP($AX10,Dummy!$B$3:$S$6,15,FALSE)</f>
        <v>571.42857142857144</v>
      </c>
      <c r="BM10" s="50">
        <f>VLOOKUP($AX10,Dummy!$B$3:$S$6,16,FALSE)</f>
        <v>244</v>
      </c>
      <c r="BN10" s="50">
        <f>VLOOKUP($AX10,Dummy!$B$3:$S$6,17,FALSE)</f>
        <v>262</v>
      </c>
      <c r="BO10" s="52">
        <f>VLOOKUP($AX10,Dummy!$B$3:$S$6,18,FALSE)</f>
        <v>931.29770992366412</v>
      </c>
    </row>
    <row r="11" spans="2:67" x14ac:dyDescent="0.25">
      <c r="B11" s="23">
        <v>45918</v>
      </c>
      <c r="C11" s="24" t="str">
        <f>AB6</f>
        <v>Philippines</v>
      </c>
      <c r="D11" s="48">
        <v>2</v>
      </c>
      <c r="E11" s="49" t="s">
        <v>0</v>
      </c>
      <c r="F11" s="47">
        <v>3</v>
      </c>
      <c r="G11" s="25" t="str">
        <f>AB7</f>
        <v>Iran</v>
      </c>
      <c r="H11" s="28">
        <v>25</v>
      </c>
      <c r="I11" s="29" t="s">
        <v>0</v>
      </c>
      <c r="J11" s="30">
        <v>21</v>
      </c>
      <c r="K11" s="28">
        <v>21</v>
      </c>
      <c r="L11" s="29" t="s">
        <v>0</v>
      </c>
      <c r="M11" s="30">
        <v>25</v>
      </c>
      <c r="N11" s="28">
        <v>25</v>
      </c>
      <c r="O11" s="29" t="s">
        <v>0</v>
      </c>
      <c r="P11" s="30">
        <v>17</v>
      </c>
      <c r="Q11" s="28">
        <v>23</v>
      </c>
      <c r="R11" s="29" t="s">
        <v>0</v>
      </c>
      <c r="S11" s="30">
        <v>25</v>
      </c>
      <c r="T11" s="28">
        <v>20</v>
      </c>
      <c r="U11" s="29" t="s">
        <v>0</v>
      </c>
      <c r="V11" s="30">
        <v>22</v>
      </c>
      <c r="W11" s="31">
        <f t="shared" si="0"/>
        <v>114</v>
      </c>
      <c r="X11" s="29" t="s">
        <v>0</v>
      </c>
      <c r="Y11" s="32">
        <f t="shared" si="1"/>
        <v>110</v>
      </c>
      <c r="AD11" s="12">
        <f t="shared" si="2"/>
        <v>5</v>
      </c>
      <c r="AE11" s="12" t="str">
        <f t="shared" si="3"/>
        <v>Iran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110</v>
      </c>
      <c r="AM11" s="12">
        <f t="shared" si="11"/>
        <v>114</v>
      </c>
      <c r="AO11" s="12" t="str">
        <f t="shared" si="12"/>
        <v>Philippines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114</v>
      </c>
      <c r="AW11" s="12">
        <f t="shared" si="20"/>
        <v>110</v>
      </c>
      <c r="BA11" s="26">
        <f>SUM(BA7:BA10)</f>
        <v>12</v>
      </c>
    </row>
    <row r="12" spans="2:67" ht="15" customHeight="1" x14ac:dyDescent="0.25">
      <c r="B12" s="76" t="s">
        <v>47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</row>
    <row r="13" spans="2:67" x14ac:dyDescent="0.25">
      <c r="B13" s="20" t="s">
        <v>54</v>
      </c>
      <c r="C13" s="21"/>
      <c r="D13" s="60" t="s">
        <v>55</v>
      </c>
      <c r="E13" s="60"/>
      <c r="F13" s="60"/>
      <c r="G13" s="22"/>
      <c r="H13" s="61" t="s">
        <v>56</v>
      </c>
      <c r="I13" s="59"/>
      <c r="J13" s="59"/>
      <c r="K13" s="61" t="s">
        <v>57</v>
      </c>
      <c r="L13" s="59"/>
      <c r="M13" s="59"/>
      <c r="N13" s="61" t="s">
        <v>58</v>
      </c>
      <c r="O13" s="59"/>
      <c r="P13" s="59"/>
      <c r="Q13" s="61" t="s">
        <v>59</v>
      </c>
      <c r="R13" s="59"/>
      <c r="S13" s="59"/>
      <c r="T13" s="61" t="s">
        <v>60</v>
      </c>
      <c r="U13" s="59"/>
      <c r="V13" s="59"/>
      <c r="W13" s="59" t="s">
        <v>1</v>
      </c>
      <c r="X13" s="59"/>
      <c r="Y13" s="59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69" t="s">
        <v>61</v>
      </c>
      <c r="AY13" s="70"/>
      <c r="AZ13" s="71"/>
      <c r="BA13" s="69" t="s">
        <v>62</v>
      </c>
      <c r="BB13" s="70"/>
      <c r="BC13" s="71"/>
      <c r="BD13" s="69" t="s">
        <v>63</v>
      </c>
      <c r="BE13" s="70"/>
      <c r="BF13" s="70"/>
      <c r="BG13" s="70"/>
      <c r="BH13" s="70"/>
      <c r="BI13" s="71"/>
      <c r="BJ13" s="69" t="s">
        <v>30</v>
      </c>
      <c r="BK13" s="70"/>
      <c r="BL13" s="71"/>
      <c r="BM13" s="69" t="s">
        <v>64</v>
      </c>
      <c r="BN13" s="70"/>
      <c r="BO13" s="71"/>
    </row>
    <row r="14" spans="2:67" x14ac:dyDescent="0.25">
      <c r="B14" s="11">
        <v>45913</v>
      </c>
      <c r="C14" s="6" t="str">
        <f>AB15</f>
        <v>Netherlands</v>
      </c>
      <c r="D14" s="48">
        <v>3</v>
      </c>
      <c r="E14" s="49" t="s">
        <v>0</v>
      </c>
      <c r="F14" s="47">
        <v>1</v>
      </c>
      <c r="G14" s="5" t="str">
        <f>AB16</f>
        <v>Qatar</v>
      </c>
      <c r="H14" s="28">
        <v>25</v>
      </c>
      <c r="I14" s="29" t="s">
        <v>0</v>
      </c>
      <c r="J14" s="30">
        <v>18</v>
      </c>
      <c r="K14" s="28">
        <v>25</v>
      </c>
      <c r="L14" s="29" t="s">
        <v>0</v>
      </c>
      <c r="M14" s="30">
        <v>23</v>
      </c>
      <c r="N14" s="28">
        <v>26</v>
      </c>
      <c r="O14" s="29" t="s">
        <v>0</v>
      </c>
      <c r="P14" s="30">
        <v>28</v>
      </c>
      <c r="Q14" s="28">
        <v>25</v>
      </c>
      <c r="R14" s="29" t="s">
        <v>0</v>
      </c>
      <c r="S14" s="30">
        <v>23</v>
      </c>
      <c r="T14" s="28"/>
      <c r="U14" s="29" t="s">
        <v>0</v>
      </c>
      <c r="V14" s="30"/>
      <c r="W14" s="31">
        <f>SUM(H14,K14,N14,Q14,T14)</f>
        <v>101</v>
      </c>
      <c r="X14" s="29" t="s">
        <v>0</v>
      </c>
      <c r="Y14" s="32">
        <f>SUM(J14,M14,P14,S14,V14)</f>
        <v>92</v>
      </c>
      <c r="AA14" s="12">
        <v>1</v>
      </c>
      <c r="AB14" s="12" t="s">
        <v>83</v>
      </c>
      <c r="AD14" s="12">
        <f t="shared" ref="AD14:AD27" si="21">AG14+AH14</f>
        <v>4</v>
      </c>
      <c r="AE14" s="12" t="str">
        <f t="shared" ref="AE14:AE19" si="22">IF(OR(D14="",F14=""),0,IF(D14&gt;F14,C14,G14))</f>
        <v>Netherlands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1</v>
      </c>
      <c r="AI14" s="12">
        <f t="shared" ref="AI14:AI19" si="26">IF(AND(AG14=3,AH14=0),1,0)</f>
        <v>0</v>
      </c>
      <c r="AJ14" s="12">
        <f t="shared" ref="AJ14:AJ19" si="27">IF(AND(AG14=3,AH14=1),1,0)</f>
        <v>1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101</v>
      </c>
      <c r="AM14" s="12">
        <f t="shared" ref="AM14:AM19" si="30">IF(D14&gt;F14,SUM(J14,M14,P14,S14,V14),SUM(H14,K14,N14,Q14,T14))</f>
        <v>92</v>
      </c>
      <c r="AO14" s="12" t="str">
        <f t="shared" ref="AO14:AO19" si="31">IF(OR(D14="",F14=""),0,IF(D14&lt;F14,C14,G14))</f>
        <v>Qatar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1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1</v>
      </c>
      <c r="AU14" s="12">
        <f t="shared" ref="AU14:AU19" si="37">IF(AND(AQ14=0,AR14=3),1,0)</f>
        <v>0</v>
      </c>
      <c r="AV14" s="12">
        <f t="shared" ref="AV14:AV19" si="38">IF(D14&lt;F14,SUM(H14,K14,N14,Q14,T14,),SUM(J14,M14,P14,S14,V14))</f>
        <v>92</v>
      </c>
      <c r="AW14" s="12">
        <f t="shared" ref="AW14:AW19" si="39">IF(D14&lt;F14,SUM(J14,M14,P14,S14,V14),SUM(H14,K14,N14,Q14,T14))</f>
        <v>101</v>
      </c>
      <c r="AX14" s="27" t="s">
        <v>24</v>
      </c>
      <c r="AY14" s="27" t="s">
        <v>65</v>
      </c>
      <c r="AZ14" s="27" t="s">
        <v>26</v>
      </c>
      <c r="BA14" s="27" t="s">
        <v>66</v>
      </c>
      <c r="BB14" s="27" t="s">
        <v>67</v>
      </c>
      <c r="BC14" s="27" t="s">
        <v>68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67</v>
      </c>
      <c r="BK14" s="27" t="s">
        <v>68</v>
      </c>
      <c r="BL14" s="27" t="s">
        <v>69</v>
      </c>
      <c r="BM14" s="27" t="s">
        <v>67</v>
      </c>
      <c r="BN14" s="27" t="s">
        <v>68</v>
      </c>
      <c r="BO14" s="27" t="s">
        <v>70</v>
      </c>
    </row>
    <row r="15" spans="2:67" x14ac:dyDescent="0.25">
      <c r="B15" s="11">
        <v>45913</v>
      </c>
      <c r="C15" s="6" t="str">
        <f>AB14</f>
        <v>Poland</v>
      </c>
      <c r="D15" s="48">
        <v>3</v>
      </c>
      <c r="E15" s="49" t="s">
        <v>0</v>
      </c>
      <c r="F15" s="47">
        <v>0</v>
      </c>
      <c r="G15" s="5" t="str">
        <f>AB17</f>
        <v>Romania</v>
      </c>
      <c r="H15" s="28">
        <v>34</v>
      </c>
      <c r="I15" s="29" t="s">
        <v>0</v>
      </c>
      <c r="J15" s="30">
        <v>32</v>
      </c>
      <c r="K15" s="28">
        <v>25</v>
      </c>
      <c r="L15" s="29" t="s">
        <v>0</v>
      </c>
      <c r="M15" s="30">
        <v>15</v>
      </c>
      <c r="N15" s="28">
        <v>25</v>
      </c>
      <c r="O15" s="29" t="s">
        <v>0</v>
      </c>
      <c r="P15" s="30">
        <v>19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84</v>
      </c>
      <c r="X15" s="29" t="s">
        <v>0</v>
      </c>
      <c r="Y15" s="32">
        <f t="shared" ref="Y15:Y19" si="41">SUM(J15,M15,P15,S15,V15)</f>
        <v>66</v>
      </c>
      <c r="AA15" s="12">
        <v>2</v>
      </c>
      <c r="AB15" s="12" t="s">
        <v>84</v>
      </c>
      <c r="AD15" s="12">
        <f t="shared" si="21"/>
        <v>3</v>
      </c>
      <c r="AE15" s="12" t="str">
        <f t="shared" si="22"/>
        <v>Poland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84</v>
      </c>
      <c r="AM15" s="12">
        <f t="shared" si="30"/>
        <v>66</v>
      </c>
      <c r="AO15" s="12" t="str">
        <f t="shared" si="31"/>
        <v>Romania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66</v>
      </c>
      <c r="AW15" s="12">
        <f t="shared" si="39"/>
        <v>84</v>
      </c>
      <c r="AX15" s="50">
        <v>1</v>
      </c>
      <c r="AY15" s="51" t="str">
        <f>VLOOKUP($AX15,Dummy!$B$7:$S$10,2,FALSE)</f>
        <v>Poland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256</v>
      </c>
      <c r="BN15" s="50">
        <f>VLOOKUP($AX15,Dummy!$B$7:$S$10,17,FALSE)</f>
        <v>209</v>
      </c>
      <c r="BO15" s="52">
        <f>VLOOKUP($AX15,Dummy!$B$7:$S$10,18,FALSE)</f>
        <v>1224.8803827751196</v>
      </c>
    </row>
    <row r="16" spans="2:67" x14ac:dyDescent="0.25">
      <c r="B16" s="11">
        <v>45915</v>
      </c>
      <c r="C16" s="6" t="str">
        <f>AB15</f>
        <v>Netherlands</v>
      </c>
      <c r="D16" s="48">
        <v>3</v>
      </c>
      <c r="E16" s="49" t="s">
        <v>0</v>
      </c>
      <c r="F16" s="47">
        <v>0</v>
      </c>
      <c r="G16" s="5" t="str">
        <f>AB17</f>
        <v>Romania</v>
      </c>
      <c r="H16" s="28">
        <v>25</v>
      </c>
      <c r="I16" s="29" t="s">
        <v>0</v>
      </c>
      <c r="J16" s="30">
        <v>23</v>
      </c>
      <c r="K16" s="28">
        <v>26</v>
      </c>
      <c r="L16" s="29" t="s">
        <v>0</v>
      </c>
      <c r="M16" s="30">
        <v>24</v>
      </c>
      <c r="N16" s="28">
        <v>26</v>
      </c>
      <c r="O16" s="29" t="s">
        <v>0</v>
      </c>
      <c r="P16" s="30">
        <v>24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77</v>
      </c>
      <c r="X16" s="29" t="s">
        <v>0</v>
      </c>
      <c r="Y16" s="32">
        <f t="shared" si="41"/>
        <v>71</v>
      </c>
      <c r="AA16" s="12">
        <v>3</v>
      </c>
      <c r="AB16" s="12" t="s">
        <v>85</v>
      </c>
      <c r="AD16" s="12">
        <f t="shared" si="21"/>
        <v>3</v>
      </c>
      <c r="AE16" s="12" t="str">
        <f t="shared" si="22"/>
        <v>Netherlands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77</v>
      </c>
      <c r="AM16" s="12">
        <f t="shared" si="30"/>
        <v>71</v>
      </c>
      <c r="AO16" s="12" t="str">
        <f t="shared" si="31"/>
        <v>Romania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71</v>
      </c>
      <c r="AW16" s="12">
        <f t="shared" si="39"/>
        <v>77</v>
      </c>
      <c r="AX16" s="50">
        <v>2</v>
      </c>
      <c r="AY16" s="51" t="str">
        <f>VLOOKUP($AX16,Dummy!$B$7:$S$10,2,FALSE)</f>
        <v>Netherlands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1</v>
      </c>
      <c r="BE16" s="50">
        <f>VLOOKUP($AX16,Dummy!$B$7:$S$10,8,FALSE)</f>
        <v>1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4</v>
      </c>
      <c r="BL16" s="52">
        <f>VLOOKUP($AX16,Dummy!$B$7:$S$10,15,FALSE)</f>
        <v>1750</v>
      </c>
      <c r="BM16" s="50">
        <f>VLOOKUP($AX16,Dummy!$B$7:$S$10,16,FALSE)</f>
        <v>267</v>
      </c>
      <c r="BN16" s="50">
        <f>VLOOKUP($AX16,Dummy!$B$7:$S$10,17,FALSE)</f>
        <v>260</v>
      </c>
      <c r="BO16" s="52">
        <f>VLOOKUP($AX16,Dummy!$B$7:$S$10,18,FALSE)</f>
        <v>1026.9230769230769</v>
      </c>
    </row>
    <row r="17" spans="2:67" x14ac:dyDescent="0.25">
      <c r="B17" s="11">
        <v>45915</v>
      </c>
      <c r="C17" s="6" t="str">
        <f>AB14</f>
        <v>Poland</v>
      </c>
      <c r="D17" s="48">
        <v>3</v>
      </c>
      <c r="E17" s="49" t="s">
        <v>0</v>
      </c>
      <c r="F17" s="47">
        <v>0</v>
      </c>
      <c r="G17" s="5" t="str">
        <f>AB16</f>
        <v>Qatar</v>
      </c>
      <c r="H17" s="28">
        <v>25</v>
      </c>
      <c r="I17" s="29" t="s">
        <v>0</v>
      </c>
      <c r="J17" s="30">
        <v>21</v>
      </c>
      <c r="K17" s="28">
        <v>25</v>
      </c>
      <c r="L17" s="29" t="s">
        <v>0</v>
      </c>
      <c r="M17" s="30">
        <v>14</v>
      </c>
      <c r="N17" s="28">
        <v>25</v>
      </c>
      <c r="O17" s="29" t="s">
        <v>0</v>
      </c>
      <c r="P17" s="30">
        <v>19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54</v>
      </c>
      <c r="AA17" s="12">
        <v>4</v>
      </c>
      <c r="AB17" s="12" t="s">
        <v>86</v>
      </c>
      <c r="AD17" s="12">
        <f t="shared" si="21"/>
        <v>3</v>
      </c>
      <c r="AE17" s="12" t="str">
        <f t="shared" si="22"/>
        <v>Poland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54</v>
      </c>
      <c r="AO17" s="12" t="str">
        <f t="shared" si="31"/>
        <v>Qatar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54</v>
      </c>
      <c r="AW17" s="12">
        <f t="shared" si="39"/>
        <v>75</v>
      </c>
      <c r="AX17" s="50">
        <v>3</v>
      </c>
      <c r="AY17" s="51" t="str">
        <f>VLOOKUP($AX17,Dummy!$B$7:$S$10,2,FALSE)</f>
        <v>Qatar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1</v>
      </c>
      <c r="BI17" s="50">
        <f>VLOOKUP($AX17,Dummy!$B$7:$S$10,12,FALSE)</f>
        <v>1</v>
      </c>
      <c r="BJ17" s="50">
        <f>VLOOKUP($AX17,Dummy!$B$7:$S$10,13,FALSE)</f>
        <v>4</v>
      </c>
      <c r="BK17" s="50">
        <f>VLOOKUP($AX17,Dummy!$B$7:$S$10,14,FALSE)</f>
        <v>7</v>
      </c>
      <c r="BL17" s="52">
        <f>VLOOKUP($AX17,Dummy!$B$7:$S$10,15,FALSE)</f>
        <v>571.42857142857144</v>
      </c>
      <c r="BM17" s="50">
        <f>VLOOKUP($AX17,Dummy!$B$7:$S$10,16,FALSE)</f>
        <v>241</v>
      </c>
      <c r="BN17" s="50">
        <f>VLOOKUP($AX17,Dummy!$B$7:$S$10,17,FALSE)</f>
        <v>266</v>
      </c>
      <c r="BO17" s="52">
        <f>VLOOKUP($AX17,Dummy!$B$7:$S$10,18,FALSE)</f>
        <v>906.01503759398497</v>
      </c>
    </row>
    <row r="18" spans="2:67" x14ac:dyDescent="0.25">
      <c r="B18" s="11">
        <v>45917</v>
      </c>
      <c r="C18" s="6" t="str">
        <f>AB16</f>
        <v>Qatar</v>
      </c>
      <c r="D18" s="48">
        <v>3</v>
      </c>
      <c r="E18" s="49" t="s">
        <v>0</v>
      </c>
      <c r="F18" s="47">
        <v>1</v>
      </c>
      <c r="G18" s="5" t="str">
        <f>AB17</f>
        <v>Romania</v>
      </c>
      <c r="H18" s="28">
        <v>20</v>
      </c>
      <c r="I18" s="29" t="s">
        <v>0</v>
      </c>
      <c r="J18" s="30">
        <v>25</v>
      </c>
      <c r="K18" s="28">
        <v>25</v>
      </c>
      <c r="L18" s="29" t="s">
        <v>0</v>
      </c>
      <c r="M18" s="30">
        <v>23</v>
      </c>
      <c r="N18" s="28">
        <v>25</v>
      </c>
      <c r="O18" s="29" t="s">
        <v>0</v>
      </c>
      <c r="P18" s="30">
        <v>20</v>
      </c>
      <c r="Q18" s="28">
        <v>25</v>
      </c>
      <c r="R18" s="29" t="s">
        <v>0</v>
      </c>
      <c r="S18" s="30">
        <v>22</v>
      </c>
      <c r="T18" s="28"/>
      <c r="U18" s="29" t="s">
        <v>0</v>
      </c>
      <c r="V18" s="30"/>
      <c r="W18" s="31">
        <f t="shared" si="40"/>
        <v>95</v>
      </c>
      <c r="X18" s="29" t="s">
        <v>0</v>
      </c>
      <c r="Y18" s="32">
        <f t="shared" si="41"/>
        <v>90</v>
      </c>
      <c r="AD18" s="12">
        <f t="shared" si="21"/>
        <v>4</v>
      </c>
      <c r="AE18" s="12" t="str">
        <f t="shared" si="22"/>
        <v>Qatar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95</v>
      </c>
      <c r="AM18" s="12">
        <f t="shared" si="30"/>
        <v>90</v>
      </c>
      <c r="AO18" s="12" t="str">
        <f t="shared" si="31"/>
        <v>Romania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90</v>
      </c>
      <c r="AW18" s="12">
        <f t="shared" si="39"/>
        <v>95</v>
      </c>
      <c r="AX18" s="50">
        <v>4</v>
      </c>
      <c r="AY18" s="51" t="str">
        <f>VLOOKUP($AX18,Dummy!$B$7:$S$10,2,FALSE)</f>
        <v>Romania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227</v>
      </c>
      <c r="BN18" s="50">
        <f>VLOOKUP($AX18,Dummy!$B$7:$S$10,17,FALSE)</f>
        <v>256</v>
      </c>
      <c r="BO18" s="52">
        <f>VLOOKUP($AX18,Dummy!$B$7:$S$10,18,FALSE)</f>
        <v>886.71875</v>
      </c>
    </row>
    <row r="19" spans="2:67" x14ac:dyDescent="0.25">
      <c r="B19" s="11">
        <v>45917</v>
      </c>
      <c r="C19" s="6" t="str">
        <f>AB14</f>
        <v>Poland</v>
      </c>
      <c r="D19" s="48">
        <v>3</v>
      </c>
      <c r="E19" s="49" t="s">
        <v>0</v>
      </c>
      <c r="F19" s="47">
        <v>1</v>
      </c>
      <c r="G19" s="5" t="str">
        <f>AB15</f>
        <v>Netherlands</v>
      </c>
      <c r="H19" s="28">
        <v>22</v>
      </c>
      <c r="I19" s="29" t="s">
        <v>0</v>
      </c>
      <c r="J19" s="30">
        <v>25</v>
      </c>
      <c r="K19" s="28">
        <v>25</v>
      </c>
      <c r="L19" s="29" t="s">
        <v>0</v>
      </c>
      <c r="M19" s="30">
        <v>23</v>
      </c>
      <c r="N19" s="28">
        <v>25</v>
      </c>
      <c r="O19" s="29" t="s">
        <v>0</v>
      </c>
      <c r="P19" s="30">
        <v>19</v>
      </c>
      <c r="Q19" s="28">
        <v>25</v>
      </c>
      <c r="R19" s="29" t="s">
        <v>0</v>
      </c>
      <c r="S19" s="30">
        <v>22</v>
      </c>
      <c r="T19" s="28"/>
      <c r="U19" s="29" t="s">
        <v>0</v>
      </c>
      <c r="V19" s="30"/>
      <c r="W19" s="31">
        <f t="shared" si="40"/>
        <v>97</v>
      </c>
      <c r="X19" s="29" t="s">
        <v>0</v>
      </c>
      <c r="Y19" s="32">
        <f t="shared" si="41"/>
        <v>89</v>
      </c>
      <c r="AD19" s="12">
        <f t="shared" si="21"/>
        <v>4</v>
      </c>
      <c r="AE19" s="12" t="str">
        <f t="shared" si="22"/>
        <v>Poland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97</v>
      </c>
      <c r="AM19" s="12">
        <f t="shared" si="30"/>
        <v>89</v>
      </c>
      <c r="AO19" s="12" t="str">
        <f t="shared" si="31"/>
        <v>Netherlands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89</v>
      </c>
      <c r="AW19" s="12">
        <f t="shared" si="39"/>
        <v>97</v>
      </c>
      <c r="BA19" s="26">
        <f>SUM(BA15:BA18)</f>
        <v>12</v>
      </c>
    </row>
    <row r="20" spans="2:67" ht="15" customHeight="1" x14ac:dyDescent="0.25">
      <c r="B20" s="76" t="s">
        <v>48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</row>
    <row r="21" spans="2:67" x14ac:dyDescent="0.25">
      <c r="B21" s="20" t="s">
        <v>54</v>
      </c>
      <c r="C21" s="21"/>
      <c r="D21" s="60" t="s">
        <v>55</v>
      </c>
      <c r="E21" s="60"/>
      <c r="F21" s="60"/>
      <c r="G21" s="22"/>
      <c r="H21" s="61" t="s">
        <v>56</v>
      </c>
      <c r="I21" s="59"/>
      <c r="J21" s="59"/>
      <c r="K21" s="61" t="s">
        <v>57</v>
      </c>
      <c r="L21" s="59"/>
      <c r="M21" s="59"/>
      <c r="N21" s="61" t="s">
        <v>58</v>
      </c>
      <c r="O21" s="59"/>
      <c r="P21" s="59"/>
      <c r="Q21" s="61" t="s">
        <v>59</v>
      </c>
      <c r="R21" s="59"/>
      <c r="S21" s="59"/>
      <c r="T21" s="61" t="s">
        <v>60</v>
      </c>
      <c r="U21" s="59"/>
      <c r="V21" s="59"/>
      <c r="W21" s="59" t="s">
        <v>1</v>
      </c>
      <c r="X21" s="59"/>
      <c r="Y21" s="59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69" t="s">
        <v>61</v>
      </c>
      <c r="AY21" s="70"/>
      <c r="AZ21" s="71"/>
      <c r="BA21" s="69" t="s">
        <v>62</v>
      </c>
      <c r="BB21" s="70"/>
      <c r="BC21" s="71"/>
      <c r="BD21" s="69" t="s">
        <v>63</v>
      </c>
      <c r="BE21" s="70"/>
      <c r="BF21" s="70"/>
      <c r="BG21" s="70"/>
      <c r="BH21" s="70"/>
      <c r="BI21" s="71"/>
      <c r="BJ21" s="69" t="s">
        <v>30</v>
      </c>
      <c r="BK21" s="70"/>
      <c r="BL21" s="71"/>
      <c r="BM21" s="69" t="s">
        <v>64</v>
      </c>
      <c r="BN21" s="70"/>
      <c r="BO21" s="71"/>
    </row>
    <row r="22" spans="2:67" x14ac:dyDescent="0.25">
      <c r="B22" s="23">
        <v>45914</v>
      </c>
      <c r="C22" s="24" t="str">
        <f>AB23</f>
        <v>Argentina</v>
      </c>
      <c r="D22" s="48">
        <v>3</v>
      </c>
      <c r="E22" s="49" t="s">
        <v>0</v>
      </c>
      <c r="F22" s="47">
        <v>2</v>
      </c>
      <c r="G22" s="25" t="str">
        <f>AB24</f>
        <v>Finland</v>
      </c>
      <c r="H22" s="28">
        <v>19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22</v>
      </c>
      <c r="Q22" s="28">
        <v>25</v>
      </c>
      <c r="R22" s="29" t="s">
        <v>0</v>
      </c>
      <c r="S22" s="30">
        <v>22</v>
      </c>
      <c r="T22" s="28">
        <v>15</v>
      </c>
      <c r="U22" s="29" t="s">
        <v>0</v>
      </c>
      <c r="V22" s="30">
        <v>11</v>
      </c>
      <c r="W22" s="31">
        <f>SUM(H22,K22,N22,Q22,T22)</f>
        <v>102</v>
      </c>
      <c r="X22" s="29" t="s">
        <v>0</v>
      </c>
      <c r="Y22" s="32">
        <f>SUM(J22,M22,P22,S22,V22)</f>
        <v>105</v>
      </c>
      <c r="AA22" s="12">
        <v>1</v>
      </c>
      <c r="AB22" s="12" t="s">
        <v>87</v>
      </c>
      <c r="AD22" s="12">
        <f t="shared" ref="AD22" si="42">AG22+AH22</f>
        <v>5</v>
      </c>
      <c r="AE22" s="12" t="str">
        <f t="shared" ref="AE22:AE27" si="43">IF(OR(D22="",F22=""),0,IF(D22&gt;F22,C22,G22))</f>
        <v>Argentina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2</v>
      </c>
      <c r="AI22" s="12">
        <f t="shared" ref="AI22:AI27" si="47">IF(AND(AG22=3,AH22=0),1,0)</f>
        <v>0</v>
      </c>
      <c r="AJ22" s="12">
        <f t="shared" ref="AJ22:AJ27" si="48">IF(AND(AG22=3,AH22=1),1,0)</f>
        <v>0</v>
      </c>
      <c r="AK22" s="12">
        <f t="shared" ref="AK22:AK27" si="49">IF(AND(AG22=3,AH22=2),1,0)</f>
        <v>1</v>
      </c>
      <c r="AL22" s="12">
        <f t="shared" ref="AL22:AL27" si="50">IF(D22&gt;F22,SUM(H22,K22,N22,Q22,T22,),SUM(J22,M22,P22,S22,V22))</f>
        <v>102</v>
      </c>
      <c r="AM22" s="12">
        <f t="shared" ref="AM22:AM27" si="51">IF(D22&gt;F22,SUM(J22,M22,P22,S22,V22),SUM(H22,K22,N22,Q22,T22))</f>
        <v>105</v>
      </c>
      <c r="AO22" s="12" t="str">
        <f t="shared" ref="AO22:AO27" si="52">IF(OR(D22="",F22=""),0,IF(D22&lt;F22,C22,G22))</f>
        <v>Finland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2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1</v>
      </c>
      <c r="AT22" s="12">
        <f t="shared" ref="AT22:AT27" si="57">IF(AND(AQ22=1,AR22=3),1,0)</f>
        <v>0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105</v>
      </c>
      <c r="AW22" s="12">
        <f t="shared" ref="AW22:AW27" si="60">IF(D22&lt;F22,SUM(J22,M22,P22,S22,V22),SUM(H22,K22,N22,Q22,T22))</f>
        <v>102</v>
      </c>
      <c r="AX22" s="27" t="s">
        <v>24</v>
      </c>
      <c r="AY22" s="27" t="s">
        <v>65</v>
      </c>
      <c r="AZ22" s="27" t="s">
        <v>26</v>
      </c>
      <c r="BA22" s="27" t="s">
        <v>66</v>
      </c>
      <c r="BB22" s="27" t="s">
        <v>67</v>
      </c>
      <c r="BC22" s="27" t="s">
        <v>68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67</v>
      </c>
      <c r="BK22" s="27" t="s">
        <v>68</v>
      </c>
      <c r="BL22" s="27" t="s">
        <v>69</v>
      </c>
      <c r="BM22" s="27" t="s">
        <v>67</v>
      </c>
      <c r="BN22" s="27" t="s">
        <v>68</v>
      </c>
      <c r="BO22" s="27" t="s">
        <v>70</v>
      </c>
    </row>
    <row r="23" spans="2:67" x14ac:dyDescent="0.25">
      <c r="B23" s="23">
        <v>45914</v>
      </c>
      <c r="C23" s="24" t="str">
        <f>AB22</f>
        <v>France</v>
      </c>
      <c r="D23" s="48">
        <v>3</v>
      </c>
      <c r="E23" s="49" t="s">
        <v>0</v>
      </c>
      <c r="F23" s="47">
        <v>0</v>
      </c>
      <c r="G23" s="25" t="str">
        <f>AB25</f>
        <v>South Korea</v>
      </c>
      <c r="H23" s="28">
        <v>25</v>
      </c>
      <c r="I23" s="29" t="s">
        <v>0</v>
      </c>
      <c r="J23" s="30">
        <v>12</v>
      </c>
      <c r="K23" s="28">
        <v>25</v>
      </c>
      <c r="L23" s="29" t="s">
        <v>0</v>
      </c>
      <c r="M23" s="30">
        <v>18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46</v>
      </c>
      <c r="AA23" s="12">
        <v>2</v>
      </c>
      <c r="AB23" s="12" t="s">
        <v>88</v>
      </c>
      <c r="AD23" s="12">
        <f t="shared" si="21"/>
        <v>3</v>
      </c>
      <c r="AE23" s="12" t="str">
        <f t="shared" si="43"/>
        <v>France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46</v>
      </c>
      <c r="AO23" s="12" t="str">
        <f t="shared" si="52"/>
        <v>South Korea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46</v>
      </c>
      <c r="AW23" s="12">
        <f t="shared" si="60"/>
        <v>75</v>
      </c>
      <c r="AX23" s="50">
        <v>1</v>
      </c>
      <c r="AY23" s="51" t="str">
        <f>VLOOKUP($AX23,Dummy!$B$11:$S$14,2,FALSE)</f>
        <v>Argentina</v>
      </c>
      <c r="AZ23" s="50">
        <f>VLOOKUP($AX23,Dummy!$B$11:$S$14,3,FALSE)</f>
        <v>7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0</v>
      </c>
      <c r="BE23" s="50">
        <f>VLOOKUP($AX23,Dummy!$B$11:$S$14,8,FALSE)</f>
        <v>1</v>
      </c>
      <c r="BF23" s="50">
        <f>VLOOKUP($AX23,Dummy!$B$11:$S$14,9,FALSE)</f>
        <v>2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5</v>
      </c>
      <c r="BL23" s="52">
        <f>VLOOKUP($AX23,Dummy!$B$11:$S$14,15,FALSE)</f>
        <v>1800</v>
      </c>
      <c r="BM23" s="50">
        <f>VLOOKUP($AX23,Dummy!$B$11:$S$14,16,FALSE)</f>
        <v>309</v>
      </c>
      <c r="BN23" s="50">
        <f>VLOOKUP($AX23,Dummy!$B$11:$S$14,17,FALSE)</f>
        <v>302</v>
      </c>
      <c r="BO23" s="52">
        <f>VLOOKUP($AX23,Dummy!$B$11:$S$14,18,FALSE)</f>
        <v>1023.1788079470199</v>
      </c>
    </row>
    <row r="24" spans="2:67" x14ac:dyDescent="0.25">
      <c r="B24" s="23">
        <v>45916</v>
      </c>
      <c r="C24" s="24" t="str">
        <f>AB23</f>
        <v>Argentina</v>
      </c>
      <c r="D24" s="48">
        <v>3</v>
      </c>
      <c r="E24" s="49" t="s">
        <v>0</v>
      </c>
      <c r="F24" s="47">
        <v>1</v>
      </c>
      <c r="G24" s="25" t="str">
        <f>AB25</f>
        <v>South Korea</v>
      </c>
      <c r="H24" s="28">
        <v>25</v>
      </c>
      <c r="I24" s="29" t="s">
        <v>0</v>
      </c>
      <c r="J24" s="30">
        <v>22</v>
      </c>
      <c r="K24" s="28">
        <v>23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21</v>
      </c>
      <c r="Q24" s="28">
        <v>25</v>
      </c>
      <c r="R24" s="29" t="s">
        <v>0</v>
      </c>
      <c r="S24" s="30">
        <v>18</v>
      </c>
      <c r="T24" s="28"/>
      <c r="U24" s="29" t="s">
        <v>0</v>
      </c>
      <c r="V24" s="30"/>
      <c r="W24" s="31">
        <f t="shared" si="61"/>
        <v>98</v>
      </c>
      <c r="X24" s="29" t="s">
        <v>0</v>
      </c>
      <c r="Y24" s="32">
        <f t="shared" si="62"/>
        <v>86</v>
      </c>
      <c r="AA24" s="12">
        <v>3</v>
      </c>
      <c r="AB24" s="12" t="s">
        <v>89</v>
      </c>
      <c r="AD24" s="12">
        <f t="shared" si="21"/>
        <v>4</v>
      </c>
      <c r="AE24" s="12" t="str">
        <f t="shared" si="43"/>
        <v>Argentina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86</v>
      </c>
      <c r="AO24" s="12" t="str">
        <f t="shared" si="52"/>
        <v>South Korea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86</v>
      </c>
      <c r="AW24" s="12">
        <f t="shared" si="60"/>
        <v>98</v>
      </c>
      <c r="AX24" s="50">
        <v>2</v>
      </c>
      <c r="AY24" s="51" t="str">
        <f>VLOOKUP($AX24,Dummy!$B$11:$S$14,2,FALSE)</f>
        <v>Finland</v>
      </c>
      <c r="AZ24" s="50">
        <f>VLOOKUP($AX24,Dummy!$B$11:$S$14,3,FALSE)</f>
        <v>6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1</v>
      </c>
      <c r="BF24" s="50">
        <f>VLOOKUP($AX24,Dummy!$B$11:$S$14,9,FALSE)</f>
        <v>1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6</v>
      </c>
      <c r="BL24" s="52">
        <f>VLOOKUP($AX24,Dummy!$B$11:$S$14,15,FALSE)</f>
        <v>1333.3333333333333</v>
      </c>
      <c r="BM24" s="50">
        <f>VLOOKUP($AX24,Dummy!$B$11:$S$14,16,FALSE)</f>
        <v>304</v>
      </c>
      <c r="BN24" s="50">
        <f>VLOOKUP($AX24,Dummy!$B$11:$S$14,17,FALSE)</f>
        <v>294</v>
      </c>
      <c r="BO24" s="52">
        <f>VLOOKUP($AX24,Dummy!$B$11:$S$14,18,FALSE)</f>
        <v>1034.0136054421769</v>
      </c>
    </row>
    <row r="25" spans="2:67" x14ac:dyDescent="0.25">
      <c r="B25" s="23">
        <v>45916</v>
      </c>
      <c r="C25" s="24" t="str">
        <f>AB22</f>
        <v>France</v>
      </c>
      <c r="D25" s="48">
        <v>2</v>
      </c>
      <c r="E25" s="49" t="s">
        <v>0</v>
      </c>
      <c r="F25" s="47">
        <v>3</v>
      </c>
      <c r="G25" s="25" t="str">
        <f>AB24</f>
        <v>Finland</v>
      </c>
      <c r="H25" s="28">
        <v>19</v>
      </c>
      <c r="I25" s="29" t="s">
        <v>0</v>
      </c>
      <c r="J25" s="30">
        <v>25</v>
      </c>
      <c r="K25" s="28">
        <v>25</v>
      </c>
      <c r="L25" s="29" t="s">
        <v>0</v>
      </c>
      <c r="M25" s="30">
        <v>17</v>
      </c>
      <c r="N25" s="28">
        <v>27</v>
      </c>
      <c r="O25" s="29" t="s">
        <v>0</v>
      </c>
      <c r="P25" s="30">
        <v>29</v>
      </c>
      <c r="Q25" s="28">
        <v>25</v>
      </c>
      <c r="R25" s="29" t="s">
        <v>0</v>
      </c>
      <c r="S25" s="30">
        <v>21</v>
      </c>
      <c r="T25" s="28">
        <v>9</v>
      </c>
      <c r="U25" s="29" t="s">
        <v>0</v>
      </c>
      <c r="V25" s="30">
        <v>15</v>
      </c>
      <c r="W25" s="31">
        <f t="shared" si="61"/>
        <v>105</v>
      </c>
      <c r="X25" s="29" t="s">
        <v>0</v>
      </c>
      <c r="Y25" s="32">
        <f t="shared" si="62"/>
        <v>107</v>
      </c>
      <c r="AA25" s="12">
        <v>4</v>
      </c>
      <c r="AB25" s="12" t="s">
        <v>90</v>
      </c>
      <c r="AD25" s="12">
        <f t="shared" si="21"/>
        <v>5</v>
      </c>
      <c r="AE25" s="12" t="str">
        <f t="shared" si="43"/>
        <v>Finland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107</v>
      </c>
      <c r="AM25" s="12">
        <f t="shared" si="51"/>
        <v>105</v>
      </c>
      <c r="AO25" s="12" t="str">
        <f t="shared" si="52"/>
        <v>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105</v>
      </c>
      <c r="AW25" s="12">
        <f t="shared" si="60"/>
        <v>107</v>
      </c>
      <c r="AX25" s="50">
        <v>3</v>
      </c>
      <c r="AY25" s="51" t="str">
        <f>VLOOKUP($AX25,Dummy!$B$11:$S$14,2,FALSE)</f>
        <v>France</v>
      </c>
      <c r="AZ25" s="50">
        <f>VLOOKUP($AX25,Dummy!$B$11:$S$14,3,FALSE)</f>
        <v>5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1</v>
      </c>
      <c r="BE25" s="50">
        <f>VLOOKUP($AX25,Dummy!$B$11:$S$14,8,FALSE)</f>
        <v>0</v>
      </c>
      <c r="BF25" s="50">
        <f>VLOOKUP($AX25,Dummy!$B$11:$S$14,9,FALSE)</f>
        <v>0</v>
      </c>
      <c r="BG25" s="50">
        <f>VLOOKUP($AX25,Dummy!$B$11:$S$14,10,FALSE)</f>
        <v>2</v>
      </c>
      <c r="BH25" s="50">
        <f>VLOOKUP($AX25,Dummy!$B$11:$S$14,11,FALSE)</f>
        <v>0</v>
      </c>
      <c r="BI25" s="50">
        <f>VLOOKUP($AX25,Dummy!$B$11:$S$14,12,FALSE)</f>
        <v>0</v>
      </c>
      <c r="BJ25" s="50">
        <f>VLOOKUP($AX25,Dummy!$B$11:$S$14,13,FALSE)</f>
        <v>7</v>
      </c>
      <c r="BK25" s="50">
        <f>VLOOKUP($AX25,Dummy!$B$11:$S$14,14,FALSE)</f>
        <v>6</v>
      </c>
      <c r="BL25" s="52">
        <f>VLOOKUP($AX25,Dummy!$B$11:$S$14,15,FALSE)</f>
        <v>1166.6666666666667</v>
      </c>
      <c r="BM25" s="50">
        <f>VLOOKUP($AX25,Dummy!$B$11:$S$14,16,FALSE)</f>
        <v>291</v>
      </c>
      <c r="BN25" s="50">
        <f>VLOOKUP($AX25,Dummy!$B$11:$S$14,17,FALSE)</f>
        <v>262</v>
      </c>
      <c r="BO25" s="52">
        <f>VLOOKUP($AX25,Dummy!$B$11:$S$14,18,FALSE)</f>
        <v>1110.6870229007632</v>
      </c>
    </row>
    <row r="26" spans="2:67" x14ac:dyDescent="0.25">
      <c r="B26" s="23">
        <v>45918</v>
      </c>
      <c r="C26" s="24" t="str">
        <f>AB24</f>
        <v>Finland</v>
      </c>
      <c r="D26" s="48">
        <v>3</v>
      </c>
      <c r="E26" s="49" t="s">
        <v>0</v>
      </c>
      <c r="F26" s="47">
        <v>1</v>
      </c>
      <c r="G26" s="25" t="str">
        <f>AB25</f>
        <v>South Korea</v>
      </c>
      <c r="H26" s="28">
        <v>25</v>
      </c>
      <c r="I26" s="29" t="s">
        <v>0</v>
      </c>
      <c r="J26" s="30">
        <v>18</v>
      </c>
      <c r="K26" s="28">
        <v>25</v>
      </c>
      <c r="L26" s="29" t="s">
        <v>0</v>
      </c>
      <c r="M26" s="30">
        <v>23</v>
      </c>
      <c r="N26" s="28">
        <v>17</v>
      </c>
      <c r="O26" s="29" t="s">
        <v>0</v>
      </c>
      <c r="P26" s="30">
        <v>25</v>
      </c>
      <c r="Q26" s="28">
        <v>25</v>
      </c>
      <c r="R26" s="29" t="s">
        <v>0</v>
      </c>
      <c r="S26" s="30">
        <v>21</v>
      </c>
      <c r="T26" s="28"/>
      <c r="U26" s="29" t="s">
        <v>0</v>
      </c>
      <c r="V26" s="30"/>
      <c r="W26" s="31">
        <f t="shared" si="61"/>
        <v>92</v>
      </c>
      <c r="X26" s="29" t="s">
        <v>0</v>
      </c>
      <c r="Y26" s="32">
        <f t="shared" si="62"/>
        <v>87</v>
      </c>
      <c r="AD26" s="12">
        <f t="shared" si="21"/>
        <v>4</v>
      </c>
      <c r="AE26" s="12" t="str">
        <f t="shared" si="43"/>
        <v>Finland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92</v>
      </c>
      <c r="AM26" s="12">
        <f t="shared" si="51"/>
        <v>87</v>
      </c>
      <c r="AO26" s="12" t="str">
        <f t="shared" si="52"/>
        <v>South Korea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87</v>
      </c>
      <c r="AW26" s="12">
        <f t="shared" si="60"/>
        <v>92</v>
      </c>
      <c r="AX26" s="50">
        <v>4</v>
      </c>
      <c r="AY26" s="51" t="str">
        <f>VLOOKUP($AX26,Dummy!$B$11:$S$14,2,FALSE)</f>
        <v>South Korea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219</v>
      </c>
      <c r="BN26" s="50">
        <f>VLOOKUP($AX26,Dummy!$B$11:$S$14,17,FALSE)</f>
        <v>265</v>
      </c>
      <c r="BO26" s="52">
        <f>VLOOKUP($AX26,Dummy!$B$11:$S$14,18,FALSE)</f>
        <v>826.41509433962267</v>
      </c>
    </row>
    <row r="27" spans="2:67" x14ac:dyDescent="0.25">
      <c r="B27" s="23">
        <v>45918</v>
      </c>
      <c r="C27" s="24" t="str">
        <f>AB22</f>
        <v>France</v>
      </c>
      <c r="D27" s="48">
        <v>2</v>
      </c>
      <c r="E27" s="49" t="s">
        <v>0</v>
      </c>
      <c r="F27" s="47">
        <v>3</v>
      </c>
      <c r="G27" s="25" t="str">
        <f>AB23</f>
        <v>Argentina</v>
      </c>
      <c r="H27" s="28">
        <v>26</v>
      </c>
      <c r="I27" s="29" t="s">
        <v>0</v>
      </c>
      <c r="J27" s="30">
        <v>28</v>
      </c>
      <c r="K27" s="28">
        <v>23</v>
      </c>
      <c r="L27" s="29" t="s">
        <v>0</v>
      </c>
      <c r="M27" s="30">
        <v>25</v>
      </c>
      <c r="N27" s="28">
        <v>25</v>
      </c>
      <c r="O27" s="29" t="s">
        <v>0</v>
      </c>
      <c r="P27" s="30">
        <v>21</v>
      </c>
      <c r="Q27" s="28">
        <v>25</v>
      </c>
      <c r="R27" s="29" t="s">
        <v>0</v>
      </c>
      <c r="S27" s="30">
        <v>20</v>
      </c>
      <c r="T27" s="28">
        <v>12</v>
      </c>
      <c r="U27" s="29" t="s">
        <v>0</v>
      </c>
      <c r="V27" s="30">
        <v>15</v>
      </c>
      <c r="W27" s="31">
        <f t="shared" si="61"/>
        <v>111</v>
      </c>
      <c r="X27" s="29" t="s">
        <v>0</v>
      </c>
      <c r="Y27" s="32">
        <f t="shared" si="62"/>
        <v>109</v>
      </c>
      <c r="AD27" s="12">
        <f t="shared" si="21"/>
        <v>5</v>
      </c>
      <c r="AE27" s="12" t="str">
        <f t="shared" si="43"/>
        <v>Argentina</v>
      </c>
      <c r="AF27" s="12">
        <f t="shared" si="44"/>
        <v>1</v>
      </c>
      <c r="AG27" s="12">
        <f t="shared" si="45"/>
        <v>3</v>
      </c>
      <c r="AH27" s="12">
        <f t="shared" si="46"/>
        <v>2</v>
      </c>
      <c r="AI27" s="12">
        <f t="shared" si="47"/>
        <v>0</v>
      </c>
      <c r="AJ27" s="12">
        <f t="shared" si="48"/>
        <v>0</v>
      </c>
      <c r="AK27" s="12">
        <f t="shared" si="49"/>
        <v>1</v>
      </c>
      <c r="AL27" s="12">
        <f t="shared" si="50"/>
        <v>109</v>
      </c>
      <c r="AM27" s="12">
        <f t="shared" si="51"/>
        <v>111</v>
      </c>
      <c r="AO27" s="12" t="str">
        <f t="shared" si="52"/>
        <v>France</v>
      </c>
      <c r="AP27" s="12">
        <f t="shared" si="53"/>
        <v>1</v>
      </c>
      <c r="AQ27" s="12">
        <f t="shared" si="54"/>
        <v>2</v>
      </c>
      <c r="AR27" s="12">
        <f t="shared" si="55"/>
        <v>3</v>
      </c>
      <c r="AS27" s="12">
        <f t="shared" si="56"/>
        <v>1</v>
      </c>
      <c r="AT27" s="12">
        <f t="shared" si="57"/>
        <v>0</v>
      </c>
      <c r="AU27" s="12">
        <f t="shared" si="58"/>
        <v>0</v>
      </c>
      <c r="AV27" s="12">
        <f t="shared" si="59"/>
        <v>111</v>
      </c>
      <c r="AW27" s="12">
        <f t="shared" si="60"/>
        <v>109</v>
      </c>
      <c r="BA27" s="26">
        <f>SUM(BA23:BA26)</f>
        <v>12</v>
      </c>
    </row>
    <row r="28" spans="2:67" ht="15" customHeight="1" x14ac:dyDescent="0.25">
      <c r="B28" s="76" t="s">
        <v>49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</row>
    <row r="29" spans="2:67" x14ac:dyDescent="0.25">
      <c r="B29" s="20" t="s">
        <v>54</v>
      </c>
      <c r="C29" s="21"/>
      <c r="D29" s="60" t="s">
        <v>55</v>
      </c>
      <c r="E29" s="60"/>
      <c r="F29" s="60"/>
      <c r="G29" s="22"/>
      <c r="H29" s="61" t="s">
        <v>56</v>
      </c>
      <c r="I29" s="59"/>
      <c r="J29" s="59"/>
      <c r="K29" s="61" t="s">
        <v>57</v>
      </c>
      <c r="L29" s="59"/>
      <c r="M29" s="59"/>
      <c r="N29" s="61" t="s">
        <v>58</v>
      </c>
      <c r="O29" s="59"/>
      <c r="P29" s="59"/>
      <c r="Q29" s="61" t="s">
        <v>59</v>
      </c>
      <c r="R29" s="59"/>
      <c r="S29" s="59"/>
      <c r="T29" s="61" t="s">
        <v>60</v>
      </c>
      <c r="U29" s="59"/>
      <c r="V29" s="59"/>
      <c r="W29" s="59" t="s">
        <v>1</v>
      </c>
      <c r="X29" s="59"/>
      <c r="Y29" s="59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69" t="s">
        <v>61</v>
      </c>
      <c r="AY29" s="70"/>
      <c r="AZ29" s="71"/>
      <c r="BA29" s="69" t="s">
        <v>62</v>
      </c>
      <c r="BB29" s="70"/>
      <c r="BC29" s="71"/>
      <c r="BD29" s="69" t="s">
        <v>63</v>
      </c>
      <c r="BE29" s="70"/>
      <c r="BF29" s="70"/>
      <c r="BG29" s="70"/>
      <c r="BH29" s="70"/>
      <c r="BI29" s="71"/>
      <c r="BJ29" s="69" t="s">
        <v>30</v>
      </c>
      <c r="BK29" s="70"/>
      <c r="BL29" s="71"/>
      <c r="BM29" s="69" t="s">
        <v>64</v>
      </c>
      <c r="BN29" s="70"/>
      <c r="BO29" s="71"/>
    </row>
    <row r="30" spans="2:67" x14ac:dyDescent="0.25">
      <c r="B30" s="11">
        <v>45913</v>
      </c>
      <c r="C30" s="6" t="str">
        <f>AB31</f>
        <v>Cuba</v>
      </c>
      <c r="D30" s="48">
        <v>1</v>
      </c>
      <c r="E30" s="49" t="s">
        <v>0</v>
      </c>
      <c r="F30" s="47">
        <v>3</v>
      </c>
      <c r="G30" s="5" t="str">
        <f>AB32</f>
        <v>Portugal</v>
      </c>
      <c r="H30" s="28">
        <v>25</v>
      </c>
      <c r="I30" s="29" t="s">
        <v>0</v>
      </c>
      <c r="J30" s="30">
        <v>20</v>
      </c>
      <c r="K30" s="28">
        <v>22</v>
      </c>
      <c r="L30" s="29" t="s">
        <v>0</v>
      </c>
      <c r="M30" s="30">
        <v>25</v>
      </c>
      <c r="N30" s="28">
        <v>19</v>
      </c>
      <c r="O30" s="29" t="s">
        <v>0</v>
      </c>
      <c r="P30" s="30">
        <v>25</v>
      </c>
      <c r="Q30" s="28">
        <v>19</v>
      </c>
      <c r="R30" s="29" t="s">
        <v>0</v>
      </c>
      <c r="S30" s="30">
        <v>25</v>
      </c>
      <c r="T30" s="28"/>
      <c r="U30" s="29" t="s">
        <v>0</v>
      </c>
      <c r="V30" s="30"/>
      <c r="W30" s="31">
        <f>SUM(H30,K30,N30,Q30,T30)</f>
        <v>85</v>
      </c>
      <c r="X30" s="29" t="s">
        <v>0</v>
      </c>
      <c r="Y30" s="32">
        <f>SUM(J30,M30,P30,S30,V30)</f>
        <v>95</v>
      </c>
      <c r="AA30" s="12">
        <v>1</v>
      </c>
      <c r="AB30" s="12" t="s">
        <v>91</v>
      </c>
      <c r="AD30" s="12">
        <f>AG30+AH30</f>
        <v>4</v>
      </c>
      <c r="AE30" s="12" t="str">
        <f>IF(OR(D30="",F30=""),0,IF(D30&gt;F30,C30,G30))</f>
        <v>Portugal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95</v>
      </c>
      <c r="AM30" s="12">
        <f>IF(D30&gt;F30,SUM(J30,M30,P30,S30,V30),SUM(H30,K30,N30,Q30,T30))</f>
        <v>85</v>
      </c>
      <c r="AO30" s="12" t="str">
        <f>IF(OR(D30="",F30=""),0,IF(D30&lt;F30,C30,G30))</f>
        <v>Cuba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85</v>
      </c>
      <c r="AW30" s="12">
        <f>IF(D30&lt;F30,SUM(J30,M30,P30,S30,V30),SUM(H30,K30,N30,Q30,T30))</f>
        <v>95</v>
      </c>
      <c r="AX30" s="27" t="s">
        <v>24</v>
      </c>
      <c r="AY30" s="27" t="s">
        <v>65</v>
      </c>
      <c r="AZ30" s="27" t="s">
        <v>26</v>
      </c>
      <c r="BA30" s="27" t="s">
        <v>66</v>
      </c>
      <c r="BB30" s="27" t="s">
        <v>67</v>
      </c>
      <c r="BC30" s="27" t="s">
        <v>68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67</v>
      </c>
      <c r="BK30" s="27" t="s">
        <v>68</v>
      </c>
      <c r="BL30" s="27" t="s">
        <v>69</v>
      </c>
      <c r="BM30" s="27" t="s">
        <v>67</v>
      </c>
      <c r="BN30" s="27" t="s">
        <v>68</v>
      </c>
      <c r="BO30" s="27" t="s">
        <v>70</v>
      </c>
    </row>
    <row r="31" spans="2:67" x14ac:dyDescent="0.25">
      <c r="B31" s="11">
        <v>45913</v>
      </c>
      <c r="C31" s="6" t="str">
        <f>AB30</f>
        <v>United States</v>
      </c>
      <c r="D31" s="48">
        <v>3</v>
      </c>
      <c r="E31" s="49" t="s">
        <v>0</v>
      </c>
      <c r="F31" s="47">
        <v>0</v>
      </c>
      <c r="G31" s="5" t="str">
        <f>AB33</f>
        <v>Colombia</v>
      </c>
      <c r="H31" s="28">
        <v>25</v>
      </c>
      <c r="I31" s="29" t="s">
        <v>0</v>
      </c>
      <c r="J31" s="30">
        <v>20</v>
      </c>
      <c r="K31" s="28">
        <v>25</v>
      </c>
      <c r="L31" s="29" t="s">
        <v>0</v>
      </c>
      <c r="M31" s="30">
        <v>21</v>
      </c>
      <c r="N31" s="28">
        <v>25</v>
      </c>
      <c r="O31" s="29" t="s">
        <v>0</v>
      </c>
      <c r="P31" s="30">
        <v>14</v>
      </c>
      <c r="Q31" s="28"/>
      <c r="R31" s="29" t="s">
        <v>0</v>
      </c>
      <c r="S31" s="30"/>
      <c r="T31" s="28"/>
      <c r="U31" s="29" t="s">
        <v>0</v>
      </c>
      <c r="V31" s="30"/>
      <c r="W31" s="31">
        <f t="shared" ref="W31:W35" si="63">SUM(H31,K31,N31,Q31,T31)</f>
        <v>75</v>
      </c>
      <c r="X31" s="29" t="s">
        <v>0</v>
      </c>
      <c r="Y31" s="32">
        <f t="shared" ref="Y31:Y35" si="64">SUM(J31,M31,P31,S31,V31)</f>
        <v>55</v>
      </c>
      <c r="AA31" s="12">
        <v>2</v>
      </c>
      <c r="AB31" s="12" t="s">
        <v>92</v>
      </c>
      <c r="AD31" s="12">
        <f t="shared" ref="AD31:AD35" si="65">AG31+AH31</f>
        <v>3</v>
      </c>
      <c r="AE31" s="12" t="str">
        <f t="shared" ref="AE31:AE35" si="66">IF(OR(D31="",F31=""),0,IF(D31&gt;F31,C31,G31))</f>
        <v>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0</v>
      </c>
      <c r="AI31" s="12">
        <f t="shared" ref="AI31:AI35" si="70">IF(AND(AG31=3,AH31=0),1,0)</f>
        <v>1</v>
      </c>
      <c r="AJ31" s="12">
        <f t="shared" ref="AJ31:AJ35" si="71">IF(AND(AG31=3,AH31=1),1,0)</f>
        <v>0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75</v>
      </c>
      <c r="AM31" s="12">
        <f t="shared" ref="AM31:AM35" si="74">IF(D31&gt;F31,SUM(J31,M31,P31,S31,V31),SUM(H31,K31,N31,Q31,T31))</f>
        <v>55</v>
      </c>
      <c r="AO31" s="12" t="str">
        <f t="shared" ref="AO31:AO35" si="75">IF(OR(D31="",F31=""),0,IF(D31&lt;F31,C31,G31))</f>
        <v>Colombia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0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0</v>
      </c>
      <c r="AU31" s="12">
        <f t="shared" ref="AU31:AU35" si="81">IF(AND(AQ31=0,AR31=3),1,0)</f>
        <v>1</v>
      </c>
      <c r="AV31" s="12">
        <f t="shared" ref="AV31:AV35" si="82">IF(D31&lt;F31,SUM(H31,K31,N31,Q31,T31,),SUM(J31,M31,P31,S31,V31))</f>
        <v>55</v>
      </c>
      <c r="AW31" s="12">
        <f t="shared" ref="AW31:AW35" si="83">IF(D31&lt;F31,SUM(J31,M31,P31,S31,V31),SUM(H31,K31,N31,Q31,T31))</f>
        <v>75</v>
      </c>
      <c r="AX31" s="50">
        <v>1</v>
      </c>
      <c r="AY31" s="51" t="str">
        <f>VLOOKUP($AX31,Dummy!$B$15:$S$16,2,FALSE)</f>
        <v>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2</v>
      </c>
      <c r="BE31" s="50">
        <f>VLOOKUP($AX31,Dummy!$B$15:$S$18,8,FALSE)</f>
        <v>1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1</v>
      </c>
      <c r="BL31" s="52">
        <f>VLOOKUP($AX31,Dummy!$B$15:$S$18,15,FALSE)</f>
        <v>9000</v>
      </c>
      <c r="BM31" s="50">
        <f>VLOOKUP($AX31,Dummy!$B$15:$S$18,16,FALSE)</f>
        <v>250</v>
      </c>
      <c r="BN31" s="50">
        <f>VLOOKUP($AX31,Dummy!$B$15:$S$18,17,FALSE)</f>
        <v>202</v>
      </c>
      <c r="BO31" s="52">
        <f>VLOOKUP($AX31,Dummy!$B$15:$S$18,18,FALSE)</f>
        <v>1237.6237623762377</v>
      </c>
    </row>
    <row r="32" spans="2:67" x14ac:dyDescent="0.25">
      <c r="B32" s="11">
        <v>45915</v>
      </c>
      <c r="C32" s="6" t="str">
        <f>AB31</f>
        <v>Cuba</v>
      </c>
      <c r="D32" s="48">
        <v>3</v>
      </c>
      <c r="E32" s="49" t="s">
        <v>0</v>
      </c>
      <c r="F32" s="47">
        <v>0</v>
      </c>
      <c r="G32" s="5" t="str">
        <f>AB33</f>
        <v>Colombia</v>
      </c>
      <c r="H32" s="28">
        <v>25</v>
      </c>
      <c r="I32" s="29" t="s">
        <v>0</v>
      </c>
      <c r="J32" s="30">
        <v>22</v>
      </c>
      <c r="K32" s="28">
        <v>25</v>
      </c>
      <c r="L32" s="29" t="s">
        <v>0</v>
      </c>
      <c r="M32" s="30">
        <v>21</v>
      </c>
      <c r="N32" s="28">
        <v>25</v>
      </c>
      <c r="O32" s="29" t="s">
        <v>0</v>
      </c>
      <c r="P32" s="30">
        <v>20</v>
      </c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75</v>
      </c>
      <c r="X32" s="29" t="s">
        <v>0</v>
      </c>
      <c r="Y32" s="32">
        <f t="shared" si="64"/>
        <v>63</v>
      </c>
      <c r="AA32" s="12">
        <v>3</v>
      </c>
      <c r="AB32" s="12" t="s">
        <v>93</v>
      </c>
      <c r="AD32" s="12">
        <f t="shared" si="65"/>
        <v>3</v>
      </c>
      <c r="AE32" s="12" t="str">
        <f t="shared" si="66"/>
        <v>Cuba</v>
      </c>
      <c r="AF32" s="12">
        <f t="shared" si="67"/>
        <v>1</v>
      </c>
      <c r="AG32" s="12">
        <f t="shared" si="68"/>
        <v>3</v>
      </c>
      <c r="AH32" s="12">
        <f t="shared" si="69"/>
        <v>0</v>
      </c>
      <c r="AI32" s="12">
        <f t="shared" si="70"/>
        <v>1</v>
      </c>
      <c r="AJ32" s="12">
        <f t="shared" si="71"/>
        <v>0</v>
      </c>
      <c r="AK32" s="12">
        <f t="shared" si="72"/>
        <v>0</v>
      </c>
      <c r="AL32" s="12">
        <f t="shared" si="73"/>
        <v>75</v>
      </c>
      <c r="AM32" s="12">
        <f t="shared" si="74"/>
        <v>63</v>
      </c>
      <c r="AO32" s="12" t="str">
        <f t="shared" si="75"/>
        <v>Colombia</v>
      </c>
      <c r="AP32" s="12">
        <f t="shared" si="76"/>
        <v>1</v>
      </c>
      <c r="AQ32" s="12">
        <f t="shared" si="77"/>
        <v>0</v>
      </c>
      <c r="AR32" s="12">
        <f t="shared" si="78"/>
        <v>3</v>
      </c>
      <c r="AS32" s="12">
        <f t="shared" si="79"/>
        <v>0</v>
      </c>
      <c r="AT32" s="12">
        <f t="shared" si="80"/>
        <v>0</v>
      </c>
      <c r="AU32" s="12">
        <f t="shared" si="81"/>
        <v>1</v>
      </c>
      <c r="AV32" s="12">
        <f t="shared" si="82"/>
        <v>63</v>
      </c>
      <c r="AW32" s="12">
        <f t="shared" si="83"/>
        <v>75</v>
      </c>
      <c r="AX32" s="50">
        <v>2</v>
      </c>
      <c r="AY32" s="51" t="str">
        <f>VLOOKUP($AX32,Dummy!$B$15:$S$18,2,FALSE)</f>
        <v>Portugal</v>
      </c>
      <c r="AZ32" s="50">
        <f>VLOOKUP($AX32,Dummy!$B$15:$S$18,3,FALSE)</f>
        <v>5</v>
      </c>
      <c r="BA32" s="50">
        <f>VLOOKUP($AX32,Dummy!$B$15:$S$18,4,FALSE)</f>
        <v>3</v>
      </c>
      <c r="BB32" s="50">
        <f>VLOOKUP($AX32,Dummy!$B$15:$S$18,5,FALSE)</f>
        <v>2</v>
      </c>
      <c r="BC32" s="50">
        <f>VLOOKUP($AX32,Dummy!$B$15:$S$18,6,FALSE)</f>
        <v>1</v>
      </c>
      <c r="BD32" s="50">
        <f>VLOOKUP($AX32,Dummy!$B$15:$S$18,7,FALSE)</f>
        <v>0</v>
      </c>
      <c r="BE32" s="50">
        <f>VLOOKUP($AX32,Dummy!$B$15:$S$18,8,FALSE)</f>
        <v>1</v>
      </c>
      <c r="BF32" s="50">
        <f>VLOOKUP($AX32,Dummy!$B$15:$S$18,9,FALSE)</f>
        <v>1</v>
      </c>
      <c r="BG32" s="50">
        <f>VLOOKUP($AX32,Dummy!$B$15:$S$18,10,FALSE)</f>
        <v>0</v>
      </c>
      <c r="BH32" s="50">
        <f>VLOOKUP($AX32,Dummy!$B$15:$S$18,11,FALSE)</f>
        <v>0</v>
      </c>
      <c r="BI32" s="50">
        <f>VLOOKUP($AX32,Dummy!$B$15:$S$18,12,FALSE)</f>
        <v>1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262</v>
      </c>
      <c r="BN32" s="50">
        <f>VLOOKUP($AX32,Dummy!$B$15:$S$18,17,FALSE)</f>
        <v>262</v>
      </c>
      <c r="BO32" s="52">
        <f>VLOOKUP($AX32,Dummy!$B$15:$S$18,18,FALSE)</f>
        <v>1000</v>
      </c>
    </row>
    <row r="33" spans="2:70" x14ac:dyDescent="0.25">
      <c r="B33" s="11">
        <v>45915</v>
      </c>
      <c r="C33" s="6" t="str">
        <f>AB30</f>
        <v>United States</v>
      </c>
      <c r="D33" s="48">
        <v>3</v>
      </c>
      <c r="E33" s="49" t="s">
        <v>0</v>
      </c>
      <c r="F33" s="47">
        <v>0</v>
      </c>
      <c r="G33" s="5" t="str">
        <f>AB32</f>
        <v>Portugal</v>
      </c>
      <c r="H33" s="28">
        <v>25</v>
      </c>
      <c r="I33" s="29" t="s">
        <v>0</v>
      </c>
      <c r="J33" s="30">
        <v>19</v>
      </c>
      <c r="K33" s="28">
        <v>25</v>
      </c>
      <c r="L33" s="29" t="s">
        <v>0</v>
      </c>
      <c r="M33" s="30">
        <v>22</v>
      </c>
      <c r="N33" s="28">
        <v>25</v>
      </c>
      <c r="O33" s="29" t="s">
        <v>0</v>
      </c>
      <c r="P33" s="30">
        <v>17</v>
      </c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75</v>
      </c>
      <c r="X33" s="29" t="s">
        <v>0</v>
      </c>
      <c r="Y33" s="32">
        <f t="shared" si="64"/>
        <v>58</v>
      </c>
      <c r="AA33" s="12">
        <v>4</v>
      </c>
      <c r="AB33" s="12" t="s">
        <v>94</v>
      </c>
      <c r="AD33" s="12">
        <f t="shared" si="65"/>
        <v>3</v>
      </c>
      <c r="AE33" s="12" t="str">
        <f t="shared" si="66"/>
        <v>United States</v>
      </c>
      <c r="AF33" s="12">
        <f t="shared" si="67"/>
        <v>1</v>
      </c>
      <c r="AG33" s="12">
        <f t="shared" si="68"/>
        <v>3</v>
      </c>
      <c r="AH33" s="12">
        <f t="shared" si="69"/>
        <v>0</v>
      </c>
      <c r="AI33" s="12">
        <f t="shared" si="70"/>
        <v>1</v>
      </c>
      <c r="AJ33" s="12">
        <f t="shared" si="71"/>
        <v>0</v>
      </c>
      <c r="AK33" s="12">
        <f t="shared" si="72"/>
        <v>0</v>
      </c>
      <c r="AL33" s="12">
        <f t="shared" si="73"/>
        <v>75</v>
      </c>
      <c r="AM33" s="12">
        <f t="shared" si="74"/>
        <v>58</v>
      </c>
      <c r="AO33" s="12" t="str">
        <f t="shared" si="75"/>
        <v>Portugal</v>
      </c>
      <c r="AP33" s="12">
        <f t="shared" si="76"/>
        <v>1</v>
      </c>
      <c r="AQ33" s="12">
        <f t="shared" si="77"/>
        <v>0</v>
      </c>
      <c r="AR33" s="12">
        <f t="shared" si="78"/>
        <v>3</v>
      </c>
      <c r="AS33" s="12">
        <f t="shared" si="79"/>
        <v>0</v>
      </c>
      <c r="AT33" s="12">
        <f t="shared" si="80"/>
        <v>0</v>
      </c>
      <c r="AU33" s="12">
        <f t="shared" si="81"/>
        <v>1</v>
      </c>
      <c r="AV33" s="12">
        <f t="shared" si="82"/>
        <v>58</v>
      </c>
      <c r="AW33" s="12">
        <f t="shared" si="83"/>
        <v>75</v>
      </c>
      <c r="AX33" s="50">
        <v>3</v>
      </c>
      <c r="AY33" s="51" t="str">
        <f>VLOOKUP($AX33,Dummy!$B$15:$S$18,2,FALSE)</f>
        <v>Cuba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1</v>
      </c>
      <c r="BE33" s="50">
        <f>VLOOKUP($AX33,Dummy!$B$15:$S$18,8,FALSE)</f>
        <v>0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2</v>
      </c>
      <c r="BI33" s="50">
        <f>VLOOKUP($AX33,Dummy!$B$15:$S$18,12,FALSE)</f>
        <v>0</v>
      </c>
      <c r="BJ33" s="50">
        <f>VLOOKUP($AX33,Dummy!$B$15:$S$18,13,FALSE)</f>
        <v>5</v>
      </c>
      <c r="BK33" s="50">
        <f>VLOOKUP($AX33,Dummy!$B$15:$S$18,14,FALSE)</f>
        <v>6</v>
      </c>
      <c r="BL33" s="52">
        <f>VLOOKUP($AX33,Dummy!$B$15:$S$18,15,FALSE)</f>
        <v>833.33333333333337</v>
      </c>
      <c r="BM33" s="50">
        <f>VLOOKUP($AX33,Dummy!$B$15:$S$18,16,FALSE)</f>
        <v>249</v>
      </c>
      <c r="BN33" s="50">
        <f>VLOOKUP($AX33,Dummy!$B$15:$S$18,17,FALSE)</f>
        <v>258</v>
      </c>
      <c r="BO33" s="52">
        <f>VLOOKUP($AX33,Dummy!$B$15:$S$18,18,FALSE)</f>
        <v>965.11627906976753</v>
      </c>
    </row>
    <row r="34" spans="2:70" x14ac:dyDescent="0.25">
      <c r="B34" s="11">
        <v>45917</v>
      </c>
      <c r="C34" s="6" t="str">
        <f>AB32</f>
        <v>Portugal</v>
      </c>
      <c r="D34" s="48">
        <v>3</v>
      </c>
      <c r="E34" s="49" t="s">
        <v>0</v>
      </c>
      <c r="F34" s="47">
        <v>2</v>
      </c>
      <c r="G34" s="5" t="str">
        <f>AB33</f>
        <v>Colombia</v>
      </c>
      <c r="H34" s="28">
        <v>23</v>
      </c>
      <c r="I34" s="29" t="s">
        <v>0</v>
      </c>
      <c r="J34" s="30">
        <v>25</v>
      </c>
      <c r="K34" s="28">
        <v>21</v>
      </c>
      <c r="L34" s="29" t="s">
        <v>0</v>
      </c>
      <c r="M34" s="30">
        <v>25</v>
      </c>
      <c r="N34" s="28">
        <v>25</v>
      </c>
      <c r="O34" s="29" t="s">
        <v>0</v>
      </c>
      <c r="P34" s="30">
        <v>20</v>
      </c>
      <c r="Q34" s="28">
        <v>25</v>
      </c>
      <c r="R34" s="29" t="s">
        <v>0</v>
      </c>
      <c r="S34" s="30">
        <v>21</v>
      </c>
      <c r="T34" s="28">
        <v>15</v>
      </c>
      <c r="U34" s="29" t="s">
        <v>0</v>
      </c>
      <c r="V34" s="30">
        <v>11</v>
      </c>
      <c r="W34" s="31">
        <f t="shared" si="63"/>
        <v>109</v>
      </c>
      <c r="X34" s="29" t="s">
        <v>0</v>
      </c>
      <c r="Y34" s="32">
        <f t="shared" si="64"/>
        <v>102</v>
      </c>
      <c r="AD34" s="12">
        <f t="shared" si="65"/>
        <v>5</v>
      </c>
      <c r="AE34" s="12" t="str">
        <f t="shared" si="66"/>
        <v>Portugal</v>
      </c>
      <c r="AF34" s="12">
        <f t="shared" si="67"/>
        <v>1</v>
      </c>
      <c r="AG34" s="12">
        <f t="shared" si="68"/>
        <v>3</v>
      </c>
      <c r="AH34" s="12">
        <f t="shared" si="69"/>
        <v>2</v>
      </c>
      <c r="AI34" s="12">
        <f t="shared" si="70"/>
        <v>0</v>
      </c>
      <c r="AJ34" s="12">
        <f t="shared" si="71"/>
        <v>0</v>
      </c>
      <c r="AK34" s="12">
        <f t="shared" si="72"/>
        <v>1</v>
      </c>
      <c r="AL34" s="12">
        <f t="shared" si="73"/>
        <v>109</v>
      </c>
      <c r="AM34" s="12">
        <f t="shared" si="74"/>
        <v>102</v>
      </c>
      <c r="AO34" s="12" t="str">
        <f t="shared" si="75"/>
        <v>Colombia</v>
      </c>
      <c r="AP34" s="12">
        <f t="shared" si="76"/>
        <v>1</v>
      </c>
      <c r="AQ34" s="12">
        <f t="shared" si="77"/>
        <v>2</v>
      </c>
      <c r="AR34" s="12">
        <f t="shared" si="78"/>
        <v>3</v>
      </c>
      <c r="AS34" s="12">
        <f t="shared" si="79"/>
        <v>1</v>
      </c>
      <c r="AT34" s="12">
        <f t="shared" si="80"/>
        <v>0</v>
      </c>
      <c r="AU34" s="12">
        <f t="shared" si="81"/>
        <v>0</v>
      </c>
      <c r="AV34" s="12">
        <f t="shared" si="82"/>
        <v>102</v>
      </c>
      <c r="AW34" s="12">
        <f t="shared" si="83"/>
        <v>109</v>
      </c>
      <c r="AX34" s="50">
        <v>4</v>
      </c>
      <c r="AY34" s="51" t="str">
        <f>VLOOKUP($AX34,Dummy!$B$15:$S$18,2,FALSE)</f>
        <v>Colombia</v>
      </c>
      <c r="AZ34" s="50">
        <f>VLOOKUP($AX34,Dummy!$B$15:$S$18,3,FALSE)</f>
        <v>1</v>
      </c>
      <c r="BA34" s="50">
        <f>VLOOKUP($AX34,Dummy!$B$15:$S$18,4,FALSE)</f>
        <v>3</v>
      </c>
      <c r="BB34" s="50">
        <f>VLOOKUP($AX34,Dummy!$B$15:$S$18,5,FALSE)</f>
        <v>0</v>
      </c>
      <c r="BC34" s="50">
        <f>VLOOKUP($AX34,Dummy!$B$15:$S$18,6,FALSE)</f>
        <v>3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1</v>
      </c>
      <c r="BH34" s="50">
        <f>VLOOKUP($AX34,Dummy!$B$15:$S$18,11,FALSE)</f>
        <v>0</v>
      </c>
      <c r="BI34" s="50">
        <f>VLOOKUP($AX34,Dummy!$B$15:$S$18,12,FALSE)</f>
        <v>2</v>
      </c>
      <c r="BJ34" s="50">
        <f>VLOOKUP($AX34,Dummy!$B$15:$S$18,13,FALSE)</f>
        <v>2</v>
      </c>
      <c r="BK34" s="50">
        <f>VLOOKUP($AX34,Dummy!$B$15:$S$18,14,FALSE)</f>
        <v>9</v>
      </c>
      <c r="BL34" s="52">
        <f>VLOOKUP($AX34,Dummy!$B$15:$S$18,15,FALSE)</f>
        <v>222.2222222222222</v>
      </c>
      <c r="BM34" s="50">
        <f>VLOOKUP($AX34,Dummy!$B$15:$S$18,16,FALSE)</f>
        <v>220</v>
      </c>
      <c r="BN34" s="50">
        <f>VLOOKUP($AX34,Dummy!$B$15:$S$18,17,FALSE)</f>
        <v>259</v>
      </c>
      <c r="BO34" s="52">
        <f>VLOOKUP($AX34,Dummy!$B$15:$S$18,18,FALSE)</f>
        <v>849.42084942084944</v>
      </c>
    </row>
    <row r="35" spans="2:70" x14ac:dyDescent="0.25">
      <c r="B35" s="11">
        <v>45917</v>
      </c>
      <c r="C35" s="6" t="str">
        <f>AB30</f>
        <v>United States</v>
      </c>
      <c r="D35" s="48">
        <v>3</v>
      </c>
      <c r="E35" s="49" t="s">
        <v>0</v>
      </c>
      <c r="F35" s="47">
        <v>1</v>
      </c>
      <c r="G35" s="5" t="str">
        <f>AB31</f>
        <v>Cuba</v>
      </c>
      <c r="H35" s="28">
        <v>25</v>
      </c>
      <c r="I35" s="29" t="s">
        <v>0</v>
      </c>
      <c r="J35" s="30">
        <v>17</v>
      </c>
      <c r="K35" s="28">
        <v>25</v>
      </c>
      <c r="L35" s="29" t="s">
        <v>0</v>
      </c>
      <c r="M35" s="30">
        <v>22</v>
      </c>
      <c r="N35" s="28">
        <v>23</v>
      </c>
      <c r="O35" s="29" t="s">
        <v>0</v>
      </c>
      <c r="P35" s="30">
        <v>25</v>
      </c>
      <c r="Q35" s="28">
        <v>27</v>
      </c>
      <c r="R35" s="29" t="s">
        <v>0</v>
      </c>
      <c r="S35" s="30">
        <v>25</v>
      </c>
      <c r="T35" s="28"/>
      <c r="U35" s="29" t="s">
        <v>0</v>
      </c>
      <c r="V35" s="30"/>
      <c r="W35" s="31">
        <f t="shared" si="63"/>
        <v>100</v>
      </c>
      <c r="X35" s="29" t="s">
        <v>0</v>
      </c>
      <c r="Y35" s="32">
        <f t="shared" si="64"/>
        <v>89</v>
      </c>
      <c r="AD35" s="12">
        <f t="shared" si="65"/>
        <v>4</v>
      </c>
      <c r="AE35" s="12" t="str">
        <f t="shared" si="66"/>
        <v>United States</v>
      </c>
      <c r="AF35" s="12">
        <f t="shared" si="67"/>
        <v>1</v>
      </c>
      <c r="AG35" s="12">
        <f t="shared" si="68"/>
        <v>3</v>
      </c>
      <c r="AH35" s="12">
        <f t="shared" si="69"/>
        <v>1</v>
      </c>
      <c r="AI35" s="12">
        <f t="shared" si="70"/>
        <v>0</v>
      </c>
      <c r="AJ35" s="12">
        <f t="shared" si="71"/>
        <v>1</v>
      </c>
      <c r="AK35" s="12">
        <f t="shared" si="72"/>
        <v>0</v>
      </c>
      <c r="AL35" s="12">
        <f t="shared" si="73"/>
        <v>100</v>
      </c>
      <c r="AM35" s="12">
        <f t="shared" si="74"/>
        <v>89</v>
      </c>
      <c r="AO35" s="12" t="str">
        <f t="shared" si="75"/>
        <v>Cuba</v>
      </c>
      <c r="AP35" s="12">
        <f t="shared" si="76"/>
        <v>1</v>
      </c>
      <c r="AQ35" s="12">
        <f t="shared" si="77"/>
        <v>1</v>
      </c>
      <c r="AR35" s="12">
        <f t="shared" si="78"/>
        <v>3</v>
      </c>
      <c r="AS35" s="12">
        <f t="shared" si="79"/>
        <v>0</v>
      </c>
      <c r="AT35" s="12">
        <f t="shared" si="80"/>
        <v>1</v>
      </c>
      <c r="AU35" s="12">
        <f t="shared" si="81"/>
        <v>0</v>
      </c>
      <c r="AV35" s="12">
        <f t="shared" si="82"/>
        <v>89</v>
      </c>
      <c r="AW35" s="12">
        <f t="shared" si="83"/>
        <v>100</v>
      </c>
      <c r="BA35" s="26">
        <f>SUM(BA31:BA34)</f>
        <v>12</v>
      </c>
    </row>
    <row r="36" spans="2:70" ht="15" customHeight="1" x14ac:dyDescent="0.25">
      <c r="B36" s="76" t="s">
        <v>50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Q36" s="62" t="s">
        <v>71</v>
      </c>
      <c r="BR36" s="62"/>
    </row>
    <row r="37" spans="2:70" x14ac:dyDescent="0.25">
      <c r="B37" s="20" t="s">
        <v>54</v>
      </c>
      <c r="C37" s="21"/>
      <c r="D37" s="60" t="s">
        <v>55</v>
      </c>
      <c r="E37" s="60"/>
      <c r="F37" s="60"/>
      <c r="G37" s="22"/>
      <c r="H37" s="61" t="s">
        <v>56</v>
      </c>
      <c r="I37" s="59"/>
      <c r="J37" s="59"/>
      <c r="K37" s="61" t="s">
        <v>57</v>
      </c>
      <c r="L37" s="59"/>
      <c r="M37" s="59"/>
      <c r="N37" s="61" t="s">
        <v>58</v>
      </c>
      <c r="O37" s="59"/>
      <c r="P37" s="59"/>
      <c r="Q37" s="61" t="s">
        <v>59</v>
      </c>
      <c r="R37" s="59"/>
      <c r="S37" s="59"/>
      <c r="T37" s="61" t="s">
        <v>60</v>
      </c>
      <c r="U37" s="59"/>
      <c r="V37" s="59"/>
      <c r="W37" s="59" t="s">
        <v>1</v>
      </c>
      <c r="X37" s="59"/>
      <c r="Y37" s="59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69" t="s">
        <v>61</v>
      </c>
      <c r="AY37" s="70"/>
      <c r="AZ37" s="71"/>
      <c r="BA37" s="69" t="s">
        <v>62</v>
      </c>
      <c r="BB37" s="70"/>
      <c r="BC37" s="71"/>
      <c r="BD37" s="69" t="s">
        <v>63</v>
      </c>
      <c r="BE37" s="70"/>
      <c r="BF37" s="70"/>
      <c r="BG37" s="70"/>
      <c r="BH37" s="70"/>
      <c r="BI37" s="71"/>
      <c r="BJ37" s="69" t="s">
        <v>30</v>
      </c>
      <c r="BK37" s="70"/>
      <c r="BL37" s="71"/>
      <c r="BM37" s="69" t="s">
        <v>64</v>
      </c>
      <c r="BN37" s="70"/>
      <c r="BO37" s="71"/>
      <c r="BQ37" s="63" t="s">
        <v>41</v>
      </c>
      <c r="BR37" s="64"/>
    </row>
    <row r="38" spans="2:70" x14ac:dyDescent="0.25">
      <c r="B38" s="23">
        <v>45913</v>
      </c>
      <c r="C38" s="24" t="str">
        <f>AB39</f>
        <v>Germany</v>
      </c>
      <c r="D38" s="48">
        <v>0</v>
      </c>
      <c r="E38" s="49" t="s">
        <v>0</v>
      </c>
      <c r="F38" s="47">
        <v>3</v>
      </c>
      <c r="G38" s="25" t="str">
        <f>AB40</f>
        <v>Bulgaria</v>
      </c>
      <c r="H38" s="28">
        <v>38</v>
      </c>
      <c r="I38" s="29" t="s">
        <v>0</v>
      </c>
      <c r="J38" s="30">
        <v>40</v>
      </c>
      <c r="K38" s="28">
        <v>22</v>
      </c>
      <c r="L38" s="29" t="s">
        <v>0</v>
      </c>
      <c r="M38" s="30">
        <v>25</v>
      </c>
      <c r="N38" s="28">
        <v>20</v>
      </c>
      <c r="O38" s="29" t="s">
        <v>0</v>
      </c>
      <c r="P38" s="30">
        <v>25</v>
      </c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80</v>
      </c>
      <c r="X38" s="29" t="s">
        <v>0</v>
      </c>
      <c r="Y38" s="32">
        <f>SUM(J38,M38,P38,S38,V38)</f>
        <v>90</v>
      </c>
      <c r="AA38" s="12">
        <v>1</v>
      </c>
      <c r="AB38" s="12" t="s">
        <v>95</v>
      </c>
      <c r="AD38" s="12">
        <f t="shared" ref="AD38:AD43" si="84">AG38+AH38</f>
        <v>3</v>
      </c>
      <c r="AE38" s="12" t="str">
        <f t="shared" ref="AE38:AE43" si="85">IF(OR(D38="",F38=""),0,IF(D38&gt;F38,C38,G38))</f>
        <v>Bulgaria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1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90</v>
      </c>
      <c r="AM38" s="12">
        <f t="shared" ref="AM38:AM43" si="93">IF(D38&gt;F38,SUM(J38,M38,P38,S38,V38),SUM(H38,K38,N38,Q38,T38))</f>
        <v>80</v>
      </c>
      <c r="AO38" s="12" t="str">
        <f t="shared" ref="AO38:AO43" si="94">IF(OR(D38="",F38=""),0,IF(D38&lt;F38,C38,G38))</f>
        <v>Germany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1</v>
      </c>
      <c r="AV38" s="12">
        <f t="shared" ref="AV38:AV43" si="101">IF(D38&lt;F38,SUM(H38,K38,N38,Q38,T38,),SUM(J38,M38,P38,S38,V38))</f>
        <v>80</v>
      </c>
      <c r="AW38" s="12">
        <f t="shared" ref="AW38:AW43" si="102">IF(D38&lt;F38,SUM(J38,M38,P38,S38,V38),SUM(H38,K38,N38,Q38,T38))</f>
        <v>90</v>
      </c>
      <c r="AX38" s="27" t="s">
        <v>24</v>
      </c>
      <c r="AY38" s="27" t="s">
        <v>65</v>
      </c>
      <c r="AZ38" s="27" t="s">
        <v>26</v>
      </c>
      <c r="BA38" s="27" t="s">
        <v>66</v>
      </c>
      <c r="BB38" s="27" t="s">
        <v>67</v>
      </c>
      <c r="BC38" s="27" t="s">
        <v>68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67</v>
      </c>
      <c r="BK38" s="27" t="s">
        <v>68</v>
      </c>
      <c r="BL38" s="27" t="s">
        <v>69</v>
      </c>
      <c r="BM38" s="27" t="s">
        <v>67</v>
      </c>
      <c r="BN38" s="27" t="s">
        <v>68</v>
      </c>
      <c r="BO38" s="27" t="s">
        <v>70</v>
      </c>
      <c r="BQ38" s="65" t="s">
        <v>42</v>
      </c>
      <c r="BR38" s="66"/>
    </row>
    <row r="39" spans="2:70" x14ac:dyDescent="0.25">
      <c r="B39" s="23">
        <v>45913</v>
      </c>
      <c r="C39" s="24" t="str">
        <f>AB38</f>
        <v>Slovenia</v>
      </c>
      <c r="D39" s="48">
        <v>3</v>
      </c>
      <c r="E39" s="49" t="s">
        <v>0</v>
      </c>
      <c r="F39" s="47">
        <v>0</v>
      </c>
      <c r="G39" s="25" t="str">
        <f>AB41</f>
        <v>Chile</v>
      </c>
      <c r="H39" s="28">
        <v>25</v>
      </c>
      <c r="I39" s="29" t="s">
        <v>0</v>
      </c>
      <c r="J39" s="30">
        <v>19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16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55</v>
      </c>
      <c r="AA39" s="12">
        <v>2</v>
      </c>
      <c r="AB39" s="12" t="s">
        <v>96</v>
      </c>
      <c r="AD39" s="12">
        <f t="shared" si="84"/>
        <v>3</v>
      </c>
      <c r="AE39" s="12" t="str">
        <f t="shared" si="85"/>
        <v>Slovenia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55</v>
      </c>
      <c r="AO39" s="12" t="str">
        <f t="shared" si="94"/>
        <v>Chile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55</v>
      </c>
      <c r="AW39" s="12">
        <f t="shared" si="102"/>
        <v>75</v>
      </c>
      <c r="AX39" s="50">
        <v>1</v>
      </c>
      <c r="AY39" s="51" t="str">
        <f>VLOOKUP($AX39,Dummy!$B$19:$S$22,2,FALSE)</f>
        <v>Bulgaria</v>
      </c>
      <c r="AZ39" s="50">
        <f>VLOOKUP($AX39,Dummy!$B$19:$S$22,3,FALSE)</f>
        <v>8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2</v>
      </c>
      <c r="BE39" s="50">
        <f>VLOOKUP($AX39,Dummy!$B$19:$S$22,8,FALSE)</f>
        <v>0</v>
      </c>
      <c r="BF39" s="50">
        <f>VLOOKUP($AX39,Dummy!$B$19:$S$22,9,FALSE)</f>
        <v>1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2</v>
      </c>
      <c r="BL39" s="52">
        <f>VLOOKUP($AX39,Dummy!$B$19:$S$22,15,FALSE)</f>
        <v>4500</v>
      </c>
      <c r="BM39" s="50">
        <f>VLOOKUP($AX39,Dummy!$B$19:$S$22,16,FALSE)</f>
        <v>271</v>
      </c>
      <c r="BN39" s="50">
        <f>VLOOKUP($AX39,Dummy!$B$19:$S$22,17,FALSE)</f>
        <v>217</v>
      </c>
      <c r="BO39" s="52">
        <f>VLOOKUP($AX39,Dummy!$B$19:$S$22,18,FALSE)</f>
        <v>1248.8479262672811</v>
      </c>
      <c r="BQ39" s="65" t="s">
        <v>43</v>
      </c>
      <c r="BR39" s="66"/>
    </row>
    <row r="40" spans="2:70" x14ac:dyDescent="0.25">
      <c r="B40" s="23">
        <v>45915</v>
      </c>
      <c r="C40" s="24" t="str">
        <f>AB39</f>
        <v>Germany</v>
      </c>
      <c r="D40" s="48">
        <v>3</v>
      </c>
      <c r="E40" s="49" t="s">
        <v>0</v>
      </c>
      <c r="F40" s="47">
        <v>0</v>
      </c>
      <c r="G40" s="25" t="str">
        <f>AB41</f>
        <v>Chile</v>
      </c>
      <c r="H40" s="28">
        <v>25</v>
      </c>
      <c r="I40" s="29" t="s">
        <v>0</v>
      </c>
      <c r="J40" s="30">
        <v>17</v>
      </c>
      <c r="K40" s="28">
        <v>25</v>
      </c>
      <c r="L40" s="29" t="s">
        <v>0</v>
      </c>
      <c r="M40" s="30">
        <v>23</v>
      </c>
      <c r="N40" s="28">
        <v>25</v>
      </c>
      <c r="O40" s="29" t="s">
        <v>0</v>
      </c>
      <c r="P40" s="30">
        <v>21</v>
      </c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75</v>
      </c>
      <c r="X40" s="29" t="s">
        <v>0</v>
      </c>
      <c r="Y40" s="32">
        <f t="shared" si="104"/>
        <v>61</v>
      </c>
      <c r="AA40" s="12">
        <v>3</v>
      </c>
      <c r="AB40" s="12" t="s">
        <v>97</v>
      </c>
      <c r="AD40" s="12">
        <f t="shared" si="84"/>
        <v>3</v>
      </c>
      <c r="AE40" s="12" t="str">
        <f t="shared" si="85"/>
        <v>Germany</v>
      </c>
      <c r="AF40" s="12">
        <f t="shared" si="86"/>
        <v>1</v>
      </c>
      <c r="AG40" s="12">
        <f t="shared" si="87"/>
        <v>3</v>
      </c>
      <c r="AH40" s="12">
        <f t="shared" si="88"/>
        <v>0</v>
      </c>
      <c r="AI40" s="12">
        <f t="shared" si="89"/>
        <v>1</v>
      </c>
      <c r="AJ40" s="12">
        <f t="shared" si="90"/>
        <v>0</v>
      </c>
      <c r="AK40" s="12">
        <f t="shared" si="91"/>
        <v>0</v>
      </c>
      <c r="AL40" s="12">
        <f t="shared" si="92"/>
        <v>75</v>
      </c>
      <c r="AM40" s="12">
        <f t="shared" si="93"/>
        <v>61</v>
      </c>
      <c r="AO40" s="12" t="str">
        <f t="shared" si="94"/>
        <v>Chile</v>
      </c>
      <c r="AP40" s="12">
        <f t="shared" si="95"/>
        <v>1</v>
      </c>
      <c r="AQ40" s="12">
        <f t="shared" si="96"/>
        <v>0</v>
      </c>
      <c r="AR40" s="12">
        <f t="shared" si="97"/>
        <v>3</v>
      </c>
      <c r="AS40" s="12">
        <f t="shared" si="98"/>
        <v>0</v>
      </c>
      <c r="AT40" s="12">
        <f t="shared" si="99"/>
        <v>0</v>
      </c>
      <c r="AU40" s="12">
        <f t="shared" si="100"/>
        <v>1</v>
      </c>
      <c r="AV40" s="12">
        <f t="shared" si="101"/>
        <v>61</v>
      </c>
      <c r="AW40" s="12">
        <f t="shared" si="102"/>
        <v>75</v>
      </c>
      <c r="AX40" s="50">
        <v>2</v>
      </c>
      <c r="AY40" s="51" t="str">
        <f>VLOOKUP($AX40,Dummy!$B$19:$S$22,2,FALSE)</f>
        <v>Slovenia</v>
      </c>
      <c r="AZ40" s="50">
        <f>VLOOKUP($AX40,Dummy!$B$19:$S$22,3,FALSE)</f>
        <v>7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1</v>
      </c>
      <c r="BE40" s="50">
        <f>VLOOKUP($AX40,Dummy!$B$19:$S$22,8,FALSE)</f>
        <v>1</v>
      </c>
      <c r="BF40" s="50">
        <f>VLOOKUP($AX40,Dummy!$B$19:$S$22,9,FALSE)</f>
        <v>0</v>
      </c>
      <c r="BG40" s="50">
        <f>VLOOKUP($AX40,Dummy!$B$19:$S$22,10,FALSE)</f>
        <v>1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8</v>
      </c>
      <c r="BK40" s="50">
        <f>VLOOKUP($AX40,Dummy!$B$19:$S$22,14,FALSE)</f>
        <v>4</v>
      </c>
      <c r="BL40" s="52">
        <f>VLOOKUP($AX40,Dummy!$B$19:$S$22,15,FALSE)</f>
        <v>2000</v>
      </c>
      <c r="BM40" s="50">
        <f>VLOOKUP($AX40,Dummy!$B$19:$S$22,16,FALSE)</f>
        <v>269</v>
      </c>
      <c r="BN40" s="50">
        <f>VLOOKUP($AX40,Dummy!$B$19:$S$22,17,FALSE)</f>
        <v>258</v>
      </c>
      <c r="BO40" s="52">
        <f>VLOOKUP($AX40,Dummy!$B$19:$S$22,18,FALSE)</f>
        <v>1042.6356589147288</v>
      </c>
      <c r="BQ40" s="65" t="s">
        <v>44</v>
      </c>
      <c r="BR40" s="66"/>
    </row>
    <row r="41" spans="2:70" x14ac:dyDescent="0.25">
      <c r="B41" s="23">
        <v>45915</v>
      </c>
      <c r="C41" s="24" t="str">
        <f>AB38</f>
        <v>Slovenia</v>
      </c>
      <c r="D41" s="48">
        <v>2</v>
      </c>
      <c r="E41" s="49" t="s">
        <v>0</v>
      </c>
      <c r="F41" s="47">
        <v>3</v>
      </c>
      <c r="G41" s="25" t="str">
        <f>AB40</f>
        <v>Bulgaria</v>
      </c>
      <c r="H41" s="28">
        <v>19</v>
      </c>
      <c r="I41" s="29" t="s">
        <v>0</v>
      </c>
      <c r="J41" s="30">
        <v>25</v>
      </c>
      <c r="K41" s="28">
        <v>14</v>
      </c>
      <c r="L41" s="29" t="s">
        <v>0</v>
      </c>
      <c r="M41" s="30">
        <v>25</v>
      </c>
      <c r="N41" s="28">
        <v>25</v>
      </c>
      <c r="O41" s="29" t="s">
        <v>0</v>
      </c>
      <c r="P41" s="30">
        <v>18</v>
      </c>
      <c r="Q41" s="28">
        <v>25</v>
      </c>
      <c r="R41" s="29" t="s">
        <v>0</v>
      </c>
      <c r="S41" s="30">
        <v>23</v>
      </c>
      <c r="T41" s="28">
        <v>13</v>
      </c>
      <c r="U41" s="29" t="s">
        <v>0</v>
      </c>
      <c r="V41" s="30">
        <v>15</v>
      </c>
      <c r="W41" s="31">
        <f t="shared" si="103"/>
        <v>96</v>
      </c>
      <c r="X41" s="29" t="s">
        <v>0</v>
      </c>
      <c r="Y41" s="32">
        <f t="shared" si="104"/>
        <v>106</v>
      </c>
      <c r="AA41" s="12">
        <v>4</v>
      </c>
      <c r="AB41" s="12" t="s">
        <v>98</v>
      </c>
      <c r="AD41" s="12">
        <f t="shared" si="84"/>
        <v>5</v>
      </c>
      <c r="AE41" s="12" t="str">
        <f t="shared" si="85"/>
        <v>Bulgaria</v>
      </c>
      <c r="AF41" s="12">
        <f t="shared" si="86"/>
        <v>1</v>
      </c>
      <c r="AG41" s="12">
        <f t="shared" si="87"/>
        <v>3</v>
      </c>
      <c r="AH41" s="12">
        <f t="shared" si="88"/>
        <v>2</v>
      </c>
      <c r="AI41" s="12">
        <f t="shared" si="89"/>
        <v>0</v>
      </c>
      <c r="AJ41" s="12">
        <f t="shared" si="90"/>
        <v>0</v>
      </c>
      <c r="AK41" s="12">
        <f t="shared" si="91"/>
        <v>1</v>
      </c>
      <c r="AL41" s="12">
        <f t="shared" si="92"/>
        <v>106</v>
      </c>
      <c r="AM41" s="12">
        <f t="shared" si="93"/>
        <v>96</v>
      </c>
      <c r="AO41" s="12" t="str">
        <f t="shared" si="94"/>
        <v>Slovenia</v>
      </c>
      <c r="AP41" s="12">
        <f t="shared" si="95"/>
        <v>1</v>
      </c>
      <c r="AQ41" s="12">
        <f t="shared" si="96"/>
        <v>2</v>
      </c>
      <c r="AR41" s="12">
        <f t="shared" si="97"/>
        <v>3</v>
      </c>
      <c r="AS41" s="12">
        <f t="shared" si="98"/>
        <v>1</v>
      </c>
      <c r="AT41" s="12">
        <f t="shared" si="99"/>
        <v>0</v>
      </c>
      <c r="AU41" s="12">
        <f t="shared" si="100"/>
        <v>0</v>
      </c>
      <c r="AV41" s="12">
        <f t="shared" si="101"/>
        <v>96</v>
      </c>
      <c r="AW41" s="12">
        <f t="shared" si="102"/>
        <v>106</v>
      </c>
      <c r="AX41" s="50">
        <v>3</v>
      </c>
      <c r="AY41" s="51" t="str">
        <f>VLOOKUP($AX41,Dummy!$B$19:$S$22,2,FALSE)</f>
        <v>Germany</v>
      </c>
      <c r="AZ41" s="50">
        <f>VLOOKUP($AX41,Dummy!$B$19:$S$22,3,FALSE)</f>
        <v>3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1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1</v>
      </c>
      <c r="BI41" s="50">
        <f>VLOOKUP($AX41,Dummy!$B$19:$S$22,12,FALSE)</f>
        <v>1</v>
      </c>
      <c r="BJ41" s="50">
        <f>VLOOKUP($AX41,Dummy!$B$19:$S$22,13,FALSE)</f>
        <v>4</v>
      </c>
      <c r="BK41" s="50">
        <f>VLOOKUP($AX41,Dummy!$B$19:$S$22,14,FALSE)</f>
        <v>6</v>
      </c>
      <c r="BL41" s="52">
        <f>VLOOKUP($AX41,Dummy!$B$19:$S$22,15,FALSE)</f>
        <v>666.66666666666663</v>
      </c>
      <c r="BM41" s="50">
        <f>VLOOKUP($AX41,Dummy!$B$19:$S$22,16,FALSE)</f>
        <v>252</v>
      </c>
      <c r="BN41" s="50">
        <f>VLOOKUP($AX41,Dummy!$B$19:$S$22,17,FALSE)</f>
        <v>249</v>
      </c>
      <c r="BO41" s="52">
        <f>VLOOKUP($AX41,Dummy!$B$19:$S$22,18,FALSE)</f>
        <v>1012.0481927710842</v>
      </c>
      <c r="BQ41" s="67" t="s">
        <v>45</v>
      </c>
      <c r="BR41" s="68"/>
    </row>
    <row r="42" spans="2:70" x14ac:dyDescent="0.25">
      <c r="B42" s="23">
        <v>45917</v>
      </c>
      <c r="C42" s="24" t="str">
        <f>AB40</f>
        <v>Bulgaria</v>
      </c>
      <c r="D42" s="48">
        <v>3</v>
      </c>
      <c r="E42" s="49" t="s">
        <v>0</v>
      </c>
      <c r="F42" s="47">
        <v>0</v>
      </c>
      <c r="G42" s="25" t="str">
        <f>AB41</f>
        <v>Chile</v>
      </c>
      <c r="H42" s="28">
        <v>25</v>
      </c>
      <c r="I42" s="29" t="s">
        <v>0</v>
      </c>
      <c r="J42" s="30">
        <v>17</v>
      </c>
      <c r="K42" s="28">
        <v>25</v>
      </c>
      <c r="L42" s="29" t="s">
        <v>0</v>
      </c>
      <c r="M42" s="30">
        <v>12</v>
      </c>
      <c r="N42" s="28">
        <v>25</v>
      </c>
      <c r="O42" s="29" t="s">
        <v>0</v>
      </c>
      <c r="P42" s="30">
        <v>12</v>
      </c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75</v>
      </c>
      <c r="X42" s="29" t="s">
        <v>0</v>
      </c>
      <c r="Y42" s="32">
        <f t="shared" si="104"/>
        <v>41</v>
      </c>
      <c r="AD42" s="12">
        <f t="shared" si="84"/>
        <v>3</v>
      </c>
      <c r="AE42" s="12" t="str">
        <f t="shared" si="85"/>
        <v>Bulgaria</v>
      </c>
      <c r="AF42" s="12">
        <f t="shared" si="86"/>
        <v>1</v>
      </c>
      <c r="AG42" s="12">
        <f t="shared" si="87"/>
        <v>3</v>
      </c>
      <c r="AH42" s="12">
        <f t="shared" si="88"/>
        <v>0</v>
      </c>
      <c r="AI42" s="12">
        <f t="shared" si="89"/>
        <v>1</v>
      </c>
      <c r="AJ42" s="12">
        <f t="shared" si="90"/>
        <v>0</v>
      </c>
      <c r="AK42" s="12">
        <f t="shared" si="91"/>
        <v>0</v>
      </c>
      <c r="AL42" s="12">
        <f t="shared" si="92"/>
        <v>75</v>
      </c>
      <c r="AM42" s="12">
        <f t="shared" si="93"/>
        <v>41</v>
      </c>
      <c r="AO42" s="12" t="str">
        <f t="shared" si="94"/>
        <v>Chile</v>
      </c>
      <c r="AP42" s="12">
        <f t="shared" si="95"/>
        <v>1</v>
      </c>
      <c r="AQ42" s="12">
        <f t="shared" si="96"/>
        <v>0</v>
      </c>
      <c r="AR42" s="12">
        <f t="shared" si="97"/>
        <v>3</v>
      </c>
      <c r="AS42" s="12">
        <f t="shared" si="98"/>
        <v>0</v>
      </c>
      <c r="AT42" s="12">
        <f t="shared" si="99"/>
        <v>0</v>
      </c>
      <c r="AU42" s="12">
        <f t="shared" si="100"/>
        <v>1</v>
      </c>
      <c r="AV42" s="12">
        <f t="shared" si="101"/>
        <v>41</v>
      </c>
      <c r="AW42" s="12">
        <f t="shared" si="102"/>
        <v>75</v>
      </c>
      <c r="AX42" s="50">
        <v>4</v>
      </c>
      <c r="AY42" s="51" t="str">
        <f>VLOOKUP($AX42,Dummy!$B$19:$S$22,2,FALSE)</f>
        <v>Chile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3</v>
      </c>
      <c r="BJ42" s="50">
        <f>VLOOKUP($AX42,Dummy!$B$19:$S$22,13,FALSE)</f>
        <v>0</v>
      </c>
      <c r="BK42" s="50">
        <f>VLOOKUP($AX42,Dummy!$B$19:$S$22,14,FALSE)</f>
        <v>9</v>
      </c>
      <c r="BL42" s="52">
        <f>VLOOKUP($AX42,Dummy!$B$19:$S$22,15,FALSE)</f>
        <v>0</v>
      </c>
      <c r="BM42" s="50">
        <f>VLOOKUP($AX42,Dummy!$B$19:$S$22,16,FALSE)</f>
        <v>157</v>
      </c>
      <c r="BN42" s="50">
        <f>VLOOKUP($AX42,Dummy!$B$19:$S$22,17,FALSE)</f>
        <v>225</v>
      </c>
      <c r="BO42" s="52">
        <f>VLOOKUP($AX42,Dummy!$B$19:$S$22,18,FALSE)</f>
        <v>697.77777777777783</v>
      </c>
    </row>
    <row r="43" spans="2:70" x14ac:dyDescent="0.25">
      <c r="B43" s="23">
        <v>45917</v>
      </c>
      <c r="C43" s="24" t="str">
        <f>AB38</f>
        <v>Slovenia</v>
      </c>
      <c r="D43" s="48">
        <v>3</v>
      </c>
      <c r="E43" s="49" t="s">
        <v>0</v>
      </c>
      <c r="F43" s="47">
        <v>1</v>
      </c>
      <c r="G43" s="25" t="str">
        <f>AB39</f>
        <v>Germany</v>
      </c>
      <c r="H43" s="28">
        <v>25</v>
      </c>
      <c r="I43" s="29" t="s">
        <v>0</v>
      </c>
      <c r="J43" s="30">
        <v>21</v>
      </c>
      <c r="K43" s="28">
        <v>17</v>
      </c>
      <c r="L43" s="29" t="s">
        <v>0</v>
      </c>
      <c r="M43" s="30">
        <v>25</v>
      </c>
      <c r="N43" s="28">
        <v>31</v>
      </c>
      <c r="O43" s="29" t="s">
        <v>0</v>
      </c>
      <c r="P43" s="30">
        <v>29</v>
      </c>
      <c r="Q43" s="28">
        <v>25</v>
      </c>
      <c r="R43" s="29" t="s">
        <v>0</v>
      </c>
      <c r="S43" s="30">
        <v>22</v>
      </c>
      <c r="T43" s="28"/>
      <c r="U43" s="29" t="s">
        <v>0</v>
      </c>
      <c r="V43" s="30"/>
      <c r="W43" s="31">
        <f t="shared" si="103"/>
        <v>98</v>
      </c>
      <c r="X43" s="29" t="s">
        <v>0</v>
      </c>
      <c r="Y43" s="32">
        <f t="shared" si="104"/>
        <v>97</v>
      </c>
      <c r="AD43" s="12">
        <f t="shared" si="84"/>
        <v>4</v>
      </c>
      <c r="AE43" s="12" t="str">
        <f t="shared" si="85"/>
        <v>Slovenia</v>
      </c>
      <c r="AF43" s="12">
        <f t="shared" si="86"/>
        <v>1</v>
      </c>
      <c r="AG43" s="12">
        <f t="shared" si="87"/>
        <v>3</v>
      </c>
      <c r="AH43" s="12">
        <f t="shared" si="88"/>
        <v>1</v>
      </c>
      <c r="AI43" s="12">
        <f t="shared" si="89"/>
        <v>0</v>
      </c>
      <c r="AJ43" s="12">
        <f t="shared" si="90"/>
        <v>1</v>
      </c>
      <c r="AK43" s="12">
        <f t="shared" si="91"/>
        <v>0</v>
      </c>
      <c r="AL43" s="12">
        <f t="shared" si="92"/>
        <v>98</v>
      </c>
      <c r="AM43" s="12">
        <f t="shared" si="93"/>
        <v>97</v>
      </c>
      <c r="AO43" s="12" t="str">
        <f t="shared" si="94"/>
        <v>Germany</v>
      </c>
      <c r="AP43" s="12">
        <f t="shared" si="95"/>
        <v>1</v>
      </c>
      <c r="AQ43" s="12">
        <f t="shared" si="96"/>
        <v>1</v>
      </c>
      <c r="AR43" s="12">
        <f t="shared" si="97"/>
        <v>3</v>
      </c>
      <c r="AS43" s="12">
        <f t="shared" si="98"/>
        <v>0</v>
      </c>
      <c r="AT43" s="12">
        <f t="shared" si="99"/>
        <v>1</v>
      </c>
      <c r="AU43" s="12">
        <f t="shared" si="100"/>
        <v>0</v>
      </c>
      <c r="AV43" s="12">
        <f t="shared" si="101"/>
        <v>97</v>
      </c>
      <c r="AW43" s="12">
        <f t="shared" si="102"/>
        <v>98</v>
      </c>
      <c r="BA43" s="26">
        <f>SUM(BA39:BA42)</f>
        <v>12</v>
      </c>
    </row>
    <row r="44" spans="2:70" ht="15" customHeight="1" x14ac:dyDescent="0.25">
      <c r="B44" s="76" t="s">
        <v>51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</row>
    <row r="45" spans="2:70" x14ac:dyDescent="0.25">
      <c r="B45" s="20" t="s">
        <v>54</v>
      </c>
      <c r="C45" s="21"/>
      <c r="D45" s="60" t="s">
        <v>55</v>
      </c>
      <c r="E45" s="60"/>
      <c r="F45" s="60"/>
      <c r="G45" s="22"/>
      <c r="H45" s="61" t="s">
        <v>56</v>
      </c>
      <c r="I45" s="59"/>
      <c r="J45" s="59"/>
      <c r="K45" s="61" t="s">
        <v>57</v>
      </c>
      <c r="L45" s="59"/>
      <c r="M45" s="59"/>
      <c r="N45" s="61" t="s">
        <v>58</v>
      </c>
      <c r="O45" s="59"/>
      <c r="P45" s="59"/>
      <c r="Q45" s="61" t="s">
        <v>59</v>
      </c>
      <c r="R45" s="59"/>
      <c r="S45" s="59"/>
      <c r="T45" s="61" t="s">
        <v>60</v>
      </c>
      <c r="U45" s="59"/>
      <c r="V45" s="59"/>
      <c r="W45" s="59" t="s">
        <v>1</v>
      </c>
      <c r="X45" s="59"/>
      <c r="Y45" s="59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69" t="s">
        <v>61</v>
      </c>
      <c r="AY45" s="70"/>
      <c r="AZ45" s="71"/>
      <c r="BA45" s="69" t="s">
        <v>62</v>
      </c>
      <c r="BB45" s="70"/>
      <c r="BC45" s="71"/>
      <c r="BD45" s="69" t="s">
        <v>63</v>
      </c>
      <c r="BE45" s="70"/>
      <c r="BF45" s="70"/>
      <c r="BG45" s="70"/>
      <c r="BH45" s="70"/>
      <c r="BI45" s="71"/>
      <c r="BJ45" s="69" t="s">
        <v>30</v>
      </c>
      <c r="BK45" s="70"/>
      <c r="BL45" s="71"/>
      <c r="BM45" s="69" t="s">
        <v>64</v>
      </c>
      <c r="BN45" s="70"/>
      <c r="BO45" s="71"/>
    </row>
    <row r="46" spans="2:70" x14ac:dyDescent="0.25">
      <c r="B46" s="11">
        <v>45914</v>
      </c>
      <c r="C46" s="6" t="str">
        <f>AB47</f>
        <v>Ukraine</v>
      </c>
      <c r="D46" s="48">
        <v>0</v>
      </c>
      <c r="E46" s="49" t="s">
        <v>0</v>
      </c>
      <c r="F46" s="47">
        <v>3</v>
      </c>
      <c r="G46" s="5" t="str">
        <f>AB48</f>
        <v>Belgium</v>
      </c>
      <c r="H46" s="28">
        <v>16</v>
      </c>
      <c r="I46" s="29" t="s">
        <v>0</v>
      </c>
      <c r="J46" s="30">
        <v>25</v>
      </c>
      <c r="K46" s="28">
        <v>17</v>
      </c>
      <c r="L46" s="29" t="s">
        <v>0</v>
      </c>
      <c r="M46" s="30">
        <v>25</v>
      </c>
      <c r="N46" s="28">
        <v>22</v>
      </c>
      <c r="O46" s="29" t="s">
        <v>0</v>
      </c>
      <c r="P46" s="30">
        <v>25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55</v>
      </c>
      <c r="X46" s="29" t="s">
        <v>0</v>
      </c>
      <c r="Y46" s="32">
        <f>SUM(J46,M46,P46,S46,V46)</f>
        <v>75</v>
      </c>
      <c r="AA46" s="12">
        <v>1</v>
      </c>
      <c r="AB46" s="12" t="s">
        <v>99</v>
      </c>
      <c r="AD46" s="12">
        <f t="shared" ref="AD46:AD51" si="105">AG46+AH46</f>
        <v>3</v>
      </c>
      <c r="AE46" s="12" t="str">
        <f t="shared" ref="AE46:AE51" si="106">IF(OR(D46="",F46=""),0,IF(D46&gt;F46,C46,G46))</f>
        <v>Belgium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55</v>
      </c>
      <c r="AO46" s="12" t="str">
        <f t="shared" ref="AO46:AO51" si="115">IF(OR(D46="",F46=""),0,IF(D46&lt;F46,C46,G46))</f>
        <v>Ukraine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55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65</v>
      </c>
      <c r="AZ46" s="27" t="s">
        <v>26</v>
      </c>
      <c r="BA46" s="27" t="s">
        <v>66</v>
      </c>
      <c r="BB46" s="27" t="s">
        <v>67</v>
      </c>
      <c r="BC46" s="27" t="s">
        <v>68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67</v>
      </c>
      <c r="BK46" s="27" t="s">
        <v>68</v>
      </c>
      <c r="BL46" s="27" t="s">
        <v>69</v>
      </c>
      <c r="BM46" s="27" t="s">
        <v>67</v>
      </c>
      <c r="BN46" s="27" t="s">
        <v>68</v>
      </c>
      <c r="BO46" s="27" t="s">
        <v>70</v>
      </c>
    </row>
    <row r="47" spans="2:70" x14ac:dyDescent="0.25">
      <c r="B47" s="11">
        <v>45914</v>
      </c>
      <c r="C47" s="6" t="str">
        <f>AB46</f>
        <v>Italy</v>
      </c>
      <c r="D47" s="48">
        <v>3</v>
      </c>
      <c r="E47" s="49" t="s">
        <v>0</v>
      </c>
      <c r="F47" s="47">
        <v>0</v>
      </c>
      <c r="G47" s="5" t="str">
        <f>AB49</f>
        <v>Algeria</v>
      </c>
      <c r="H47" s="28">
        <v>25</v>
      </c>
      <c r="I47" s="29" t="s">
        <v>0</v>
      </c>
      <c r="J47" s="30">
        <v>13</v>
      </c>
      <c r="K47" s="28">
        <v>25</v>
      </c>
      <c r="L47" s="29" t="s">
        <v>0</v>
      </c>
      <c r="M47" s="30">
        <v>22</v>
      </c>
      <c r="N47" s="28">
        <v>25</v>
      </c>
      <c r="O47" s="29" t="s">
        <v>0</v>
      </c>
      <c r="P47" s="30">
        <v>17</v>
      </c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75</v>
      </c>
      <c r="X47" s="29" t="s">
        <v>0</v>
      </c>
      <c r="Y47" s="32">
        <f t="shared" ref="Y47:Y51" si="125">SUM(J47,M47,P47,S47,V47)</f>
        <v>52</v>
      </c>
      <c r="AA47" s="12">
        <v>2</v>
      </c>
      <c r="AB47" s="12" t="s">
        <v>100</v>
      </c>
      <c r="AD47" s="12">
        <f t="shared" si="105"/>
        <v>3</v>
      </c>
      <c r="AE47" s="12" t="str">
        <f t="shared" si="106"/>
        <v>Italy</v>
      </c>
      <c r="AF47" s="12">
        <f t="shared" si="107"/>
        <v>1</v>
      </c>
      <c r="AG47" s="12">
        <f t="shared" si="108"/>
        <v>3</v>
      </c>
      <c r="AH47" s="12">
        <f t="shared" si="109"/>
        <v>0</v>
      </c>
      <c r="AI47" s="12">
        <f t="shared" si="110"/>
        <v>1</v>
      </c>
      <c r="AJ47" s="12">
        <f t="shared" si="111"/>
        <v>0</v>
      </c>
      <c r="AK47" s="12">
        <f t="shared" si="112"/>
        <v>0</v>
      </c>
      <c r="AL47" s="12">
        <f t="shared" si="113"/>
        <v>75</v>
      </c>
      <c r="AM47" s="12">
        <f t="shared" si="114"/>
        <v>52</v>
      </c>
      <c r="AO47" s="12" t="str">
        <f t="shared" si="115"/>
        <v>Algeria</v>
      </c>
      <c r="AP47" s="12">
        <f t="shared" si="116"/>
        <v>1</v>
      </c>
      <c r="AQ47" s="12">
        <f t="shared" si="117"/>
        <v>0</v>
      </c>
      <c r="AR47" s="12">
        <f t="shared" si="118"/>
        <v>3</v>
      </c>
      <c r="AS47" s="12">
        <f t="shared" si="119"/>
        <v>0</v>
      </c>
      <c r="AT47" s="12">
        <f t="shared" si="120"/>
        <v>0</v>
      </c>
      <c r="AU47" s="12">
        <f t="shared" si="121"/>
        <v>1</v>
      </c>
      <c r="AV47" s="12">
        <f t="shared" si="122"/>
        <v>52</v>
      </c>
      <c r="AW47" s="12">
        <f t="shared" si="123"/>
        <v>75</v>
      </c>
      <c r="AX47" s="50">
        <v>1</v>
      </c>
      <c r="AY47" s="51" t="str">
        <f>VLOOKUP($AX47,Dummy!$B$23:$S$26,2,FALSE)</f>
        <v>Belgium</v>
      </c>
      <c r="AZ47" s="50">
        <f>VLOOKUP($AX47,Dummy!$B$23:$S$26,3,FALSE)</f>
        <v>8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2</v>
      </c>
      <c r="BE47" s="50">
        <f>VLOOKUP($AX47,Dummy!$B$23:$S$26,8,FALSE)</f>
        <v>0</v>
      </c>
      <c r="BF47" s="50">
        <f>VLOOKUP($AX47,Dummy!$B$23:$S$26,9,FALSE)</f>
        <v>1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258</v>
      </c>
      <c r="BN47" s="50">
        <f>VLOOKUP($AX47,Dummy!$B$23:$S$26,17,FALSE)</f>
        <v>215</v>
      </c>
      <c r="BO47" s="52">
        <f>VLOOKUP($AX47,Dummy!$B$23:$S$26,18,FALSE)</f>
        <v>1200</v>
      </c>
    </row>
    <row r="48" spans="2:70" x14ac:dyDescent="0.25">
      <c r="B48" s="11">
        <v>45916</v>
      </c>
      <c r="C48" s="6" t="str">
        <f>AB47</f>
        <v>Ukraine</v>
      </c>
      <c r="D48" s="48">
        <v>3</v>
      </c>
      <c r="E48" s="49" t="s">
        <v>0</v>
      </c>
      <c r="F48" s="47">
        <v>0</v>
      </c>
      <c r="G48" s="5" t="str">
        <f>AB49</f>
        <v>Algeria</v>
      </c>
      <c r="H48" s="28">
        <v>25</v>
      </c>
      <c r="I48" s="29" t="s">
        <v>0</v>
      </c>
      <c r="J48" s="30">
        <v>17</v>
      </c>
      <c r="K48" s="28">
        <v>25</v>
      </c>
      <c r="L48" s="29" t="s">
        <v>0</v>
      </c>
      <c r="M48" s="30">
        <v>12</v>
      </c>
      <c r="N48" s="28">
        <v>25</v>
      </c>
      <c r="O48" s="29" t="s">
        <v>0</v>
      </c>
      <c r="P48" s="30">
        <v>11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40</v>
      </c>
      <c r="AA48" s="12">
        <v>3</v>
      </c>
      <c r="AB48" s="12" t="s">
        <v>101</v>
      </c>
      <c r="AD48" s="12">
        <f t="shared" si="105"/>
        <v>3</v>
      </c>
      <c r="AE48" s="12" t="str">
        <f t="shared" si="106"/>
        <v>Ukraine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40</v>
      </c>
      <c r="AO48" s="12" t="str">
        <f t="shared" si="115"/>
        <v>Algeria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40</v>
      </c>
      <c r="AW48" s="12">
        <f t="shared" si="123"/>
        <v>75</v>
      </c>
      <c r="AX48" s="50">
        <v>2</v>
      </c>
      <c r="AY48" s="51" t="str">
        <f>VLOOKUP($AX48,Dummy!$B$23:$S$26,2,FALSE)</f>
        <v>Italy</v>
      </c>
      <c r="AZ48" s="50">
        <f>VLOOKUP($AX48,Dummy!$B$23:$S$26,3,FALSE)</f>
        <v>7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1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8</v>
      </c>
      <c r="BK48" s="50">
        <f>VLOOKUP($AX48,Dummy!$B$23:$S$26,14,FALSE)</f>
        <v>3</v>
      </c>
      <c r="BL48" s="52">
        <f>VLOOKUP($AX48,Dummy!$B$23:$S$26,15,FALSE)</f>
        <v>2666.6666666666665</v>
      </c>
      <c r="BM48" s="50">
        <f>VLOOKUP($AX48,Dummy!$B$23:$S$26,16,FALSE)</f>
        <v>256</v>
      </c>
      <c r="BN48" s="50">
        <f>VLOOKUP($AX48,Dummy!$B$23:$S$26,17,FALSE)</f>
        <v>221</v>
      </c>
      <c r="BO48" s="52">
        <f>VLOOKUP($AX48,Dummy!$B$23:$S$26,18,FALSE)</f>
        <v>1158.3710407239821</v>
      </c>
    </row>
    <row r="49" spans="2:67" x14ac:dyDescent="0.25">
      <c r="B49" s="11">
        <v>45916</v>
      </c>
      <c r="C49" s="6" t="str">
        <f>AB46</f>
        <v>Italy</v>
      </c>
      <c r="D49" s="48">
        <v>2</v>
      </c>
      <c r="E49" s="49" t="s">
        <v>0</v>
      </c>
      <c r="F49" s="47">
        <v>3</v>
      </c>
      <c r="G49" s="5" t="str">
        <f>AB48</f>
        <v>Belgium</v>
      </c>
      <c r="H49" s="28">
        <v>23</v>
      </c>
      <c r="I49" s="29" t="s">
        <v>0</v>
      </c>
      <c r="J49" s="30">
        <v>25</v>
      </c>
      <c r="K49" s="28">
        <v>20</v>
      </c>
      <c r="L49" s="29" t="s">
        <v>0</v>
      </c>
      <c r="M49" s="30">
        <v>25</v>
      </c>
      <c r="N49" s="28">
        <v>25</v>
      </c>
      <c r="O49" s="29" t="s">
        <v>0</v>
      </c>
      <c r="P49" s="30">
        <v>22</v>
      </c>
      <c r="Q49" s="28">
        <v>25</v>
      </c>
      <c r="R49" s="29" t="s">
        <v>0</v>
      </c>
      <c r="S49" s="30">
        <v>21</v>
      </c>
      <c r="T49" s="28">
        <v>13</v>
      </c>
      <c r="U49" s="29" t="s">
        <v>0</v>
      </c>
      <c r="V49" s="30">
        <v>15</v>
      </c>
      <c r="W49" s="31">
        <f t="shared" si="124"/>
        <v>106</v>
      </c>
      <c r="X49" s="29" t="s">
        <v>0</v>
      </c>
      <c r="Y49" s="32">
        <f t="shared" si="125"/>
        <v>108</v>
      </c>
      <c r="AA49" s="12">
        <v>4</v>
      </c>
      <c r="AB49" s="12" t="s">
        <v>102</v>
      </c>
      <c r="AD49" s="12">
        <f t="shared" si="105"/>
        <v>5</v>
      </c>
      <c r="AE49" s="12" t="str">
        <f t="shared" si="106"/>
        <v>Belgium</v>
      </c>
      <c r="AF49" s="12">
        <f t="shared" si="107"/>
        <v>1</v>
      </c>
      <c r="AG49" s="12">
        <f t="shared" si="108"/>
        <v>3</v>
      </c>
      <c r="AH49" s="12">
        <f t="shared" si="109"/>
        <v>2</v>
      </c>
      <c r="AI49" s="12">
        <f t="shared" si="110"/>
        <v>0</v>
      </c>
      <c r="AJ49" s="12">
        <f t="shared" si="111"/>
        <v>0</v>
      </c>
      <c r="AK49" s="12">
        <f t="shared" si="112"/>
        <v>1</v>
      </c>
      <c r="AL49" s="12">
        <f t="shared" si="113"/>
        <v>108</v>
      </c>
      <c r="AM49" s="12">
        <f t="shared" si="114"/>
        <v>106</v>
      </c>
      <c r="AO49" s="12" t="str">
        <f t="shared" si="115"/>
        <v>Italy</v>
      </c>
      <c r="AP49" s="12">
        <f t="shared" si="116"/>
        <v>1</v>
      </c>
      <c r="AQ49" s="12">
        <f t="shared" si="117"/>
        <v>2</v>
      </c>
      <c r="AR49" s="12">
        <f t="shared" si="118"/>
        <v>3</v>
      </c>
      <c r="AS49" s="12">
        <f t="shared" si="119"/>
        <v>1</v>
      </c>
      <c r="AT49" s="12">
        <f t="shared" si="120"/>
        <v>0</v>
      </c>
      <c r="AU49" s="12">
        <f t="shared" si="121"/>
        <v>0</v>
      </c>
      <c r="AV49" s="12">
        <f t="shared" si="122"/>
        <v>106</v>
      </c>
      <c r="AW49" s="12">
        <f t="shared" si="123"/>
        <v>108</v>
      </c>
      <c r="AX49" s="50">
        <v>3</v>
      </c>
      <c r="AY49" s="51" t="str">
        <f>VLOOKUP($AX49,Dummy!$B$23:$S$26,2,FALSE)</f>
        <v>Ukraine</v>
      </c>
      <c r="AZ49" s="50">
        <f>VLOOKUP($AX49,Dummy!$B$23:$S$26,3,FALSE)</f>
        <v>3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1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2</v>
      </c>
      <c r="BJ49" s="50">
        <f>VLOOKUP($AX49,Dummy!$B$23:$S$26,13,FALSE)</f>
        <v>3</v>
      </c>
      <c r="BK49" s="50">
        <f>VLOOKUP($AX49,Dummy!$B$23:$S$26,14,FALSE)</f>
        <v>6</v>
      </c>
      <c r="BL49" s="52">
        <f>VLOOKUP($AX49,Dummy!$B$23:$S$26,15,FALSE)</f>
        <v>500</v>
      </c>
      <c r="BM49" s="50">
        <f>VLOOKUP($AX49,Dummy!$B$23:$S$26,16,FALSE)</f>
        <v>191</v>
      </c>
      <c r="BN49" s="50">
        <f>VLOOKUP($AX49,Dummy!$B$23:$S$26,17,FALSE)</f>
        <v>190</v>
      </c>
      <c r="BO49" s="52">
        <f>VLOOKUP($AX49,Dummy!$B$23:$S$26,18,FALSE)</f>
        <v>1005.2631578947369</v>
      </c>
    </row>
    <row r="50" spans="2:67" x14ac:dyDescent="0.25">
      <c r="B50" s="11">
        <v>45918</v>
      </c>
      <c r="C50" s="6" t="str">
        <f>AB48</f>
        <v>Belgium</v>
      </c>
      <c r="D50" s="48">
        <v>3</v>
      </c>
      <c r="E50" s="49" t="s">
        <v>0</v>
      </c>
      <c r="F50" s="47">
        <v>0</v>
      </c>
      <c r="G50" s="5" t="str">
        <f>AB49</f>
        <v>Algeria</v>
      </c>
      <c r="H50" s="28">
        <v>25</v>
      </c>
      <c r="I50" s="29" t="s">
        <v>0</v>
      </c>
      <c r="J50" s="30">
        <v>22</v>
      </c>
      <c r="K50" s="28">
        <v>25</v>
      </c>
      <c r="L50" s="29" t="s">
        <v>0</v>
      </c>
      <c r="M50" s="30">
        <v>20</v>
      </c>
      <c r="N50" s="28">
        <v>25</v>
      </c>
      <c r="O50" s="29" t="s">
        <v>0</v>
      </c>
      <c r="P50" s="30">
        <v>12</v>
      </c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75</v>
      </c>
      <c r="X50" s="29" t="s">
        <v>0</v>
      </c>
      <c r="Y50" s="32">
        <f t="shared" si="125"/>
        <v>54</v>
      </c>
      <c r="AD50" s="12">
        <f t="shared" si="105"/>
        <v>3</v>
      </c>
      <c r="AE50" s="12" t="str">
        <f t="shared" si="106"/>
        <v>Belgium</v>
      </c>
      <c r="AF50" s="12">
        <f t="shared" si="107"/>
        <v>1</v>
      </c>
      <c r="AG50" s="12">
        <f t="shared" si="108"/>
        <v>3</v>
      </c>
      <c r="AH50" s="12">
        <f t="shared" si="109"/>
        <v>0</v>
      </c>
      <c r="AI50" s="12">
        <f t="shared" si="110"/>
        <v>1</v>
      </c>
      <c r="AJ50" s="12">
        <f t="shared" si="111"/>
        <v>0</v>
      </c>
      <c r="AK50" s="12">
        <f t="shared" si="112"/>
        <v>0</v>
      </c>
      <c r="AL50" s="12">
        <f t="shared" si="113"/>
        <v>75</v>
      </c>
      <c r="AM50" s="12">
        <f t="shared" si="114"/>
        <v>54</v>
      </c>
      <c r="AO50" s="12" t="str">
        <f t="shared" si="115"/>
        <v>Algeria</v>
      </c>
      <c r="AP50" s="12">
        <f t="shared" si="116"/>
        <v>1</v>
      </c>
      <c r="AQ50" s="12">
        <f t="shared" si="117"/>
        <v>0</v>
      </c>
      <c r="AR50" s="12">
        <f t="shared" si="118"/>
        <v>3</v>
      </c>
      <c r="AS50" s="12">
        <f t="shared" si="119"/>
        <v>0</v>
      </c>
      <c r="AT50" s="12">
        <f t="shared" si="120"/>
        <v>0</v>
      </c>
      <c r="AU50" s="12">
        <f t="shared" si="121"/>
        <v>1</v>
      </c>
      <c r="AV50" s="12">
        <f t="shared" si="122"/>
        <v>54</v>
      </c>
      <c r="AW50" s="12">
        <f t="shared" si="123"/>
        <v>75</v>
      </c>
      <c r="AX50" s="50">
        <v>4</v>
      </c>
      <c r="AY50" s="51" t="str">
        <f>VLOOKUP($AX50,Dummy!$B$23:$S$26,2,FALSE)</f>
        <v>Algeria</v>
      </c>
      <c r="AZ50" s="50">
        <f>VLOOKUP($AX50,Dummy!$B$23:$S$26,3,FALSE)</f>
        <v>0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3</v>
      </c>
      <c r="BJ50" s="50">
        <f>VLOOKUP($AX50,Dummy!$B$23:$S$26,13,FALSE)</f>
        <v>0</v>
      </c>
      <c r="BK50" s="50">
        <f>VLOOKUP($AX50,Dummy!$B$23:$S$26,14,FALSE)</f>
        <v>9</v>
      </c>
      <c r="BL50" s="52">
        <f>VLOOKUP($AX50,Dummy!$B$23:$S$26,15,FALSE)</f>
        <v>0</v>
      </c>
      <c r="BM50" s="50">
        <f>VLOOKUP($AX50,Dummy!$B$23:$S$26,16,FALSE)</f>
        <v>146</v>
      </c>
      <c r="BN50" s="50">
        <f>VLOOKUP($AX50,Dummy!$B$23:$S$26,17,FALSE)</f>
        <v>225</v>
      </c>
      <c r="BO50" s="52">
        <f>VLOOKUP($AX50,Dummy!$B$23:$S$26,18,FALSE)</f>
        <v>648.8888888888888</v>
      </c>
    </row>
    <row r="51" spans="2:67" x14ac:dyDescent="0.25">
      <c r="B51" s="11">
        <v>45918</v>
      </c>
      <c r="C51" s="6" t="str">
        <f>AB46</f>
        <v>Italy</v>
      </c>
      <c r="D51" s="48">
        <v>3</v>
      </c>
      <c r="E51" s="49" t="s">
        <v>0</v>
      </c>
      <c r="F51" s="47">
        <v>0</v>
      </c>
      <c r="G51" s="5" t="str">
        <f>AB47</f>
        <v>Ukraine</v>
      </c>
      <c r="H51" s="28">
        <v>25</v>
      </c>
      <c r="I51" s="29" t="s">
        <v>0</v>
      </c>
      <c r="J51" s="30">
        <v>21</v>
      </c>
      <c r="K51" s="28">
        <v>25</v>
      </c>
      <c r="L51" s="29" t="s">
        <v>0</v>
      </c>
      <c r="M51" s="30">
        <v>22</v>
      </c>
      <c r="N51" s="28">
        <v>25</v>
      </c>
      <c r="O51" s="29" t="s">
        <v>0</v>
      </c>
      <c r="P51" s="30">
        <v>18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61</v>
      </c>
      <c r="AD51" s="12">
        <f t="shared" si="105"/>
        <v>3</v>
      </c>
      <c r="AE51" s="12" t="str">
        <f t="shared" si="106"/>
        <v>Italy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61</v>
      </c>
      <c r="AO51" s="12" t="str">
        <f t="shared" si="115"/>
        <v>Ukraine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61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76" t="s">
        <v>52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2:67" x14ac:dyDescent="0.25">
      <c r="B53" s="20" t="s">
        <v>54</v>
      </c>
      <c r="C53" s="21"/>
      <c r="D53" s="60" t="s">
        <v>55</v>
      </c>
      <c r="E53" s="60"/>
      <c r="F53" s="60"/>
      <c r="G53" s="22"/>
      <c r="H53" s="61" t="s">
        <v>56</v>
      </c>
      <c r="I53" s="59"/>
      <c r="J53" s="59"/>
      <c r="K53" s="61" t="s">
        <v>57</v>
      </c>
      <c r="L53" s="59"/>
      <c r="M53" s="59"/>
      <c r="N53" s="61" t="s">
        <v>58</v>
      </c>
      <c r="O53" s="59"/>
      <c r="P53" s="59"/>
      <c r="Q53" s="61" t="s">
        <v>59</v>
      </c>
      <c r="R53" s="59"/>
      <c r="S53" s="59"/>
      <c r="T53" s="61" t="s">
        <v>60</v>
      </c>
      <c r="U53" s="59"/>
      <c r="V53" s="59"/>
      <c r="W53" s="59" t="s">
        <v>1</v>
      </c>
      <c r="X53" s="59"/>
      <c r="Y53" s="59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69" t="s">
        <v>61</v>
      </c>
      <c r="AY53" s="70"/>
      <c r="AZ53" s="71"/>
      <c r="BA53" s="69" t="s">
        <v>62</v>
      </c>
      <c r="BB53" s="70"/>
      <c r="BC53" s="71"/>
      <c r="BD53" s="69" t="s">
        <v>63</v>
      </c>
      <c r="BE53" s="70"/>
      <c r="BF53" s="70"/>
      <c r="BG53" s="70"/>
      <c r="BH53" s="70"/>
      <c r="BI53" s="71"/>
      <c r="BJ53" s="69" t="s">
        <v>30</v>
      </c>
      <c r="BK53" s="70"/>
      <c r="BL53" s="71"/>
      <c r="BM53" s="69" t="s">
        <v>64</v>
      </c>
      <c r="BN53" s="70"/>
      <c r="BO53" s="71"/>
    </row>
    <row r="54" spans="2:67" x14ac:dyDescent="0.25">
      <c r="B54" s="23">
        <v>45917</v>
      </c>
      <c r="C54" s="24" t="str">
        <f>AB55</f>
        <v>Canada</v>
      </c>
      <c r="D54" s="48">
        <v>0</v>
      </c>
      <c r="E54" s="49" t="s">
        <v>0</v>
      </c>
      <c r="F54" s="47">
        <v>3</v>
      </c>
      <c r="G54" s="25" t="str">
        <f>AB56</f>
        <v>Turkey</v>
      </c>
      <c r="H54" s="28">
        <v>21</v>
      </c>
      <c r="I54" s="29" t="s">
        <v>0</v>
      </c>
      <c r="J54" s="30">
        <v>25</v>
      </c>
      <c r="K54" s="28">
        <v>16</v>
      </c>
      <c r="L54" s="29" t="s">
        <v>0</v>
      </c>
      <c r="M54" s="30">
        <v>25</v>
      </c>
      <c r="N54" s="28">
        <v>25</v>
      </c>
      <c r="O54" s="29" t="s">
        <v>0</v>
      </c>
      <c r="P54" s="30">
        <v>27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62</v>
      </c>
      <c r="X54" s="29" t="s">
        <v>0</v>
      </c>
      <c r="Y54" s="32">
        <f>SUM(J54,M54,P54,S54,V54)</f>
        <v>77</v>
      </c>
      <c r="AA54" s="12">
        <v>1</v>
      </c>
      <c r="AB54" s="12" t="s">
        <v>103</v>
      </c>
      <c r="AD54" s="12">
        <f>AG54+AH54</f>
        <v>3</v>
      </c>
      <c r="AE54" s="12" t="str">
        <f>IF(OR(D54="",F54=""),0,IF(D54&gt;F54,C54,G54))</f>
        <v>Turkey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77</v>
      </c>
      <c r="AM54" s="12">
        <f>IF(D54&gt;F54,SUM(J54,M54,P54,S54,V54),SUM(H54,K54,N54,Q54,T54))</f>
        <v>62</v>
      </c>
      <c r="AO54" s="12" t="str">
        <f>IF(OR(D54="",F54=""),0,IF(D54&lt;F54,C54,G54))</f>
        <v>Canada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62</v>
      </c>
      <c r="AW54" s="12">
        <f>IF(D54&lt;F54,SUM(J54,M54,P54,S54,V54),SUM(H54,K54,N54,Q54,T54))</f>
        <v>77</v>
      </c>
      <c r="AX54" s="27" t="s">
        <v>24</v>
      </c>
      <c r="AY54" s="27" t="s">
        <v>65</v>
      </c>
      <c r="AZ54" s="27" t="s">
        <v>26</v>
      </c>
      <c r="BA54" s="27" t="s">
        <v>66</v>
      </c>
      <c r="BB54" s="27" t="s">
        <v>67</v>
      </c>
      <c r="BC54" s="27" t="s">
        <v>68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67</v>
      </c>
      <c r="BK54" s="27" t="s">
        <v>68</v>
      </c>
      <c r="BL54" s="27" t="s">
        <v>69</v>
      </c>
      <c r="BM54" s="27" t="s">
        <v>67</v>
      </c>
      <c r="BN54" s="27" t="s">
        <v>68</v>
      </c>
      <c r="BO54" s="27" t="s">
        <v>70</v>
      </c>
    </row>
    <row r="55" spans="2:67" x14ac:dyDescent="0.25">
      <c r="B55" s="23">
        <v>45917</v>
      </c>
      <c r="C55" s="24" t="str">
        <f>AB54</f>
        <v>Japan</v>
      </c>
      <c r="D55" s="48">
        <v>3</v>
      </c>
      <c r="E55" s="49" t="s">
        <v>0</v>
      </c>
      <c r="F55" s="47">
        <v>0</v>
      </c>
      <c r="G55" s="25" t="str">
        <f>AB57</f>
        <v>Libya</v>
      </c>
      <c r="H55" s="28">
        <v>25</v>
      </c>
      <c r="I55" s="29" t="s">
        <v>0</v>
      </c>
      <c r="J55" s="30">
        <v>20</v>
      </c>
      <c r="K55" s="28">
        <v>25</v>
      </c>
      <c r="L55" s="29" t="s">
        <v>0</v>
      </c>
      <c r="M55" s="30">
        <v>17</v>
      </c>
      <c r="N55" s="28">
        <v>25</v>
      </c>
      <c r="O55" s="29" t="s">
        <v>0</v>
      </c>
      <c r="P55" s="30">
        <v>12</v>
      </c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75</v>
      </c>
      <c r="X55" s="29" t="s">
        <v>0</v>
      </c>
      <c r="Y55" s="32">
        <f t="shared" ref="Y55:Y59" si="127">SUM(J55,M55,P55,S55,V55)</f>
        <v>49</v>
      </c>
      <c r="AA55" s="12">
        <v>2</v>
      </c>
      <c r="AB55" s="12" t="s">
        <v>104</v>
      </c>
      <c r="AD55" s="12">
        <f t="shared" ref="AD55:AD59" si="128">AG55+AH55</f>
        <v>3</v>
      </c>
      <c r="AE55" s="12" t="str">
        <f t="shared" ref="AE55:AE59" si="129">IF(OR(D55="",F55=""),0,IF(D55&gt;F55,C55,G55))</f>
        <v>Japan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1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75</v>
      </c>
      <c r="AM55" s="12">
        <f t="shared" ref="AM55:AM59" si="137">IF(D55&gt;F55,SUM(J55,M55,P55,S55,V55),SUM(H55,K55,N55,Q55,T55))</f>
        <v>49</v>
      </c>
      <c r="AO55" s="12" t="str">
        <f t="shared" ref="AO55:AO59" si="138">IF(OR(D55="",F55=""),0,IF(D55&lt;F55,C55,G55))</f>
        <v>Libya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1</v>
      </c>
      <c r="AV55" s="12">
        <f t="shared" ref="AV55:AV59" si="145">IF(D55&lt;F55,SUM(H55,K55,N55,Q55,T55,),SUM(J55,M55,P55,S55,V55))</f>
        <v>49</v>
      </c>
      <c r="AW55" s="12">
        <f t="shared" ref="AW55:AW59" si="146">IF(D55&lt;F55,SUM(J55,M55,P55,S55,V55),SUM(H55,K55,N55,Q55,T55))</f>
        <v>75</v>
      </c>
      <c r="AX55" s="50">
        <v>1</v>
      </c>
      <c r="AY55" s="51" t="str">
        <f>VLOOKUP($AX55,Dummy!$B$27:$S$30,2,FALSE)</f>
        <v>Turkey</v>
      </c>
      <c r="AZ55" s="50">
        <f>VLOOKUP($AX55,Dummy!$B$27:$S$30,3,FALSE)</f>
        <v>9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2</v>
      </c>
      <c r="BE55" s="50">
        <f>VLOOKUP($AX55,Dummy!$B$27:$S$30,8,FALSE)</f>
        <v>1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1</v>
      </c>
      <c r="BL55" s="52">
        <f>VLOOKUP($AX55,Dummy!$B$27:$S$30,15,FALSE)</f>
        <v>9000</v>
      </c>
      <c r="BM55" s="50">
        <f>VLOOKUP($AX55,Dummy!$B$27:$S$30,16,FALSE)</f>
        <v>250</v>
      </c>
      <c r="BN55" s="50">
        <f>VLOOKUP($AX55,Dummy!$B$27:$S$30,17,FALSE)</f>
        <v>196</v>
      </c>
      <c r="BO55" s="52">
        <f>VLOOKUP($AX55,Dummy!$B$27:$S$30,18,FALSE)</f>
        <v>1275.5102040816325</v>
      </c>
    </row>
    <row r="56" spans="2:67" x14ac:dyDescent="0.25">
      <c r="B56" s="23">
        <v>45913</v>
      </c>
      <c r="C56" s="24" t="str">
        <f>AB55</f>
        <v>Canada</v>
      </c>
      <c r="D56" s="48">
        <v>3</v>
      </c>
      <c r="E56" s="49" t="s">
        <v>0</v>
      </c>
      <c r="F56" s="47">
        <v>1</v>
      </c>
      <c r="G56" s="25" t="str">
        <f>AB57</f>
        <v>Libya</v>
      </c>
      <c r="H56" s="28">
        <v>22</v>
      </c>
      <c r="I56" s="29" t="s">
        <v>0</v>
      </c>
      <c r="J56" s="30">
        <v>25</v>
      </c>
      <c r="K56" s="28">
        <v>25</v>
      </c>
      <c r="L56" s="29" t="s">
        <v>0</v>
      </c>
      <c r="M56" s="30">
        <v>20</v>
      </c>
      <c r="N56" s="28">
        <v>25</v>
      </c>
      <c r="O56" s="29" t="s">
        <v>0</v>
      </c>
      <c r="P56" s="30">
        <v>12</v>
      </c>
      <c r="Q56" s="28">
        <v>29</v>
      </c>
      <c r="R56" s="29" t="s">
        <v>0</v>
      </c>
      <c r="S56" s="30">
        <v>27</v>
      </c>
      <c r="T56" s="28"/>
      <c r="U56" s="29" t="s">
        <v>0</v>
      </c>
      <c r="V56" s="30"/>
      <c r="W56" s="31">
        <f t="shared" si="126"/>
        <v>101</v>
      </c>
      <c r="X56" s="29" t="s">
        <v>0</v>
      </c>
      <c r="Y56" s="32">
        <f t="shared" si="127"/>
        <v>84</v>
      </c>
      <c r="AA56" s="12">
        <v>3</v>
      </c>
      <c r="AB56" s="12" t="s">
        <v>105</v>
      </c>
      <c r="AD56" s="12">
        <f t="shared" si="128"/>
        <v>4</v>
      </c>
      <c r="AE56" s="12" t="str">
        <f t="shared" si="129"/>
        <v>Canada</v>
      </c>
      <c r="AF56" s="12">
        <f t="shared" si="130"/>
        <v>1</v>
      </c>
      <c r="AG56" s="12">
        <f t="shared" si="131"/>
        <v>3</v>
      </c>
      <c r="AH56" s="12">
        <f t="shared" si="132"/>
        <v>1</v>
      </c>
      <c r="AI56" s="12">
        <f t="shared" si="133"/>
        <v>0</v>
      </c>
      <c r="AJ56" s="12">
        <f t="shared" si="134"/>
        <v>1</v>
      </c>
      <c r="AK56" s="12">
        <f t="shared" si="135"/>
        <v>0</v>
      </c>
      <c r="AL56" s="12">
        <f t="shared" si="136"/>
        <v>101</v>
      </c>
      <c r="AM56" s="12">
        <f t="shared" si="137"/>
        <v>84</v>
      </c>
      <c r="AO56" s="12" t="str">
        <f t="shared" si="138"/>
        <v>Libya</v>
      </c>
      <c r="AP56" s="12">
        <f t="shared" si="139"/>
        <v>1</v>
      </c>
      <c r="AQ56" s="12">
        <f t="shared" si="140"/>
        <v>1</v>
      </c>
      <c r="AR56" s="12">
        <f t="shared" si="141"/>
        <v>3</v>
      </c>
      <c r="AS56" s="12">
        <f t="shared" si="142"/>
        <v>0</v>
      </c>
      <c r="AT56" s="12">
        <f t="shared" si="143"/>
        <v>1</v>
      </c>
      <c r="AU56" s="12">
        <f t="shared" si="144"/>
        <v>0</v>
      </c>
      <c r="AV56" s="12">
        <f t="shared" si="145"/>
        <v>84</v>
      </c>
      <c r="AW56" s="12">
        <f t="shared" si="146"/>
        <v>101</v>
      </c>
      <c r="AX56" s="50">
        <v>2</v>
      </c>
      <c r="AY56" s="51" t="str">
        <f>VLOOKUP($AX56,Dummy!$B$27:$S$30,2,FALSE)</f>
        <v>Canada</v>
      </c>
      <c r="AZ56" s="50">
        <f>VLOOKUP($AX56,Dummy!$B$27:$S$30,3,FALSE)</f>
        <v>6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1</v>
      </c>
      <c r="BE56" s="50">
        <f>VLOOKUP($AX56,Dummy!$B$27:$S$30,8,FALSE)</f>
        <v>1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1</v>
      </c>
      <c r="BJ56" s="50">
        <f>VLOOKUP($AX56,Dummy!$B$27:$S$30,13,FALSE)</f>
        <v>6</v>
      </c>
      <c r="BK56" s="50">
        <f>VLOOKUP($AX56,Dummy!$B$27:$S$30,14,FALSE)</f>
        <v>4</v>
      </c>
      <c r="BL56" s="52">
        <f>VLOOKUP($AX56,Dummy!$B$27:$S$30,15,FALSE)</f>
        <v>1500</v>
      </c>
      <c r="BM56" s="50">
        <f>VLOOKUP($AX56,Dummy!$B$27:$S$30,16,FALSE)</f>
        <v>238</v>
      </c>
      <c r="BN56" s="50">
        <f>VLOOKUP($AX56,Dummy!$B$27:$S$30,17,FALSE)</f>
        <v>226</v>
      </c>
      <c r="BO56" s="52">
        <f>VLOOKUP($AX56,Dummy!$B$27:$S$30,18,FALSE)</f>
        <v>1053.0973451327434</v>
      </c>
    </row>
    <row r="57" spans="2:67" x14ac:dyDescent="0.25">
      <c r="B57" s="23">
        <v>45913</v>
      </c>
      <c r="C57" s="24" t="str">
        <f>AB54</f>
        <v>Japan</v>
      </c>
      <c r="D57" s="48">
        <v>0</v>
      </c>
      <c r="E57" s="49" t="s">
        <v>0</v>
      </c>
      <c r="F57" s="47">
        <v>3</v>
      </c>
      <c r="G57" s="25" t="str">
        <f>AB56</f>
        <v>Turkey</v>
      </c>
      <c r="H57" s="28">
        <v>19</v>
      </c>
      <c r="I57" s="29" t="s">
        <v>0</v>
      </c>
      <c r="J57" s="30">
        <v>25</v>
      </c>
      <c r="K57" s="28">
        <v>23</v>
      </c>
      <c r="L57" s="29" t="s">
        <v>0</v>
      </c>
      <c r="M57" s="30">
        <v>25</v>
      </c>
      <c r="N57" s="28">
        <v>19</v>
      </c>
      <c r="O57" s="29" t="s">
        <v>0</v>
      </c>
      <c r="P57" s="30">
        <v>25</v>
      </c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61</v>
      </c>
      <c r="X57" s="29" t="s">
        <v>0</v>
      </c>
      <c r="Y57" s="32">
        <f t="shared" si="127"/>
        <v>75</v>
      </c>
      <c r="AA57" s="12">
        <v>4</v>
      </c>
      <c r="AB57" s="12" t="s">
        <v>106</v>
      </c>
      <c r="AD57" s="12">
        <f t="shared" si="128"/>
        <v>3</v>
      </c>
      <c r="AE57" s="12" t="str">
        <f t="shared" si="129"/>
        <v>Turkey</v>
      </c>
      <c r="AF57" s="12">
        <f t="shared" si="130"/>
        <v>1</v>
      </c>
      <c r="AG57" s="12">
        <f t="shared" si="131"/>
        <v>3</v>
      </c>
      <c r="AH57" s="12">
        <f t="shared" si="132"/>
        <v>0</v>
      </c>
      <c r="AI57" s="12">
        <f t="shared" si="133"/>
        <v>1</v>
      </c>
      <c r="AJ57" s="12">
        <f t="shared" si="134"/>
        <v>0</v>
      </c>
      <c r="AK57" s="12">
        <f t="shared" si="135"/>
        <v>0</v>
      </c>
      <c r="AL57" s="12">
        <f t="shared" si="136"/>
        <v>75</v>
      </c>
      <c r="AM57" s="12">
        <f t="shared" si="137"/>
        <v>61</v>
      </c>
      <c r="AO57" s="12" t="str">
        <f t="shared" si="138"/>
        <v>Japan</v>
      </c>
      <c r="AP57" s="12">
        <f t="shared" si="139"/>
        <v>1</v>
      </c>
      <c r="AQ57" s="12">
        <f t="shared" si="140"/>
        <v>0</v>
      </c>
      <c r="AR57" s="12">
        <f t="shared" si="141"/>
        <v>3</v>
      </c>
      <c r="AS57" s="12">
        <f t="shared" si="142"/>
        <v>0</v>
      </c>
      <c r="AT57" s="12">
        <f t="shared" si="143"/>
        <v>0</v>
      </c>
      <c r="AU57" s="12">
        <f t="shared" si="144"/>
        <v>1</v>
      </c>
      <c r="AV57" s="12">
        <f t="shared" si="145"/>
        <v>61</v>
      </c>
      <c r="AW57" s="12">
        <f t="shared" si="146"/>
        <v>75</v>
      </c>
      <c r="AX57" s="50">
        <v>3</v>
      </c>
      <c r="AY57" s="51" t="str">
        <f>VLOOKUP($AX57,Dummy!$B$27:$S$30,2,FALSE)</f>
        <v>Japan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0</v>
      </c>
      <c r="BI57" s="50">
        <f>VLOOKUP($AX57,Dummy!$B$27:$S$30,12,FALSE)</f>
        <v>2</v>
      </c>
      <c r="BJ57" s="50">
        <f>VLOOKUP($AX57,Dummy!$B$27:$S$30,13,FALSE)</f>
        <v>3</v>
      </c>
      <c r="BK57" s="50">
        <f>VLOOKUP($AX57,Dummy!$B$27:$S$30,14,FALSE)</f>
        <v>6</v>
      </c>
      <c r="BL57" s="52">
        <f>VLOOKUP($AX57,Dummy!$B$27:$S$30,15,FALSE)</f>
        <v>500</v>
      </c>
      <c r="BM57" s="50">
        <f>VLOOKUP($AX57,Dummy!$B$27:$S$30,16,FALSE)</f>
        <v>201</v>
      </c>
      <c r="BN57" s="50">
        <f>VLOOKUP($AX57,Dummy!$B$27:$S$30,17,FALSE)</f>
        <v>199</v>
      </c>
      <c r="BO57" s="52">
        <f>VLOOKUP($AX57,Dummy!$B$27:$S$30,18,FALSE)</f>
        <v>1010.0502512562814</v>
      </c>
    </row>
    <row r="58" spans="2:67" x14ac:dyDescent="0.25">
      <c r="B58" s="23">
        <v>45915</v>
      </c>
      <c r="C58" s="24" t="str">
        <f>AB56</f>
        <v>Turkey</v>
      </c>
      <c r="D58" s="48">
        <v>3</v>
      </c>
      <c r="E58" s="49" t="s">
        <v>0</v>
      </c>
      <c r="F58" s="47">
        <v>1</v>
      </c>
      <c r="G58" s="25" t="str">
        <f>AB57</f>
        <v>Libya</v>
      </c>
      <c r="H58" s="28">
        <v>25</v>
      </c>
      <c r="I58" s="29" t="s">
        <v>0</v>
      </c>
      <c r="J58" s="30">
        <v>18</v>
      </c>
      <c r="K58" s="28">
        <v>23</v>
      </c>
      <c r="L58" s="29" t="s">
        <v>0</v>
      </c>
      <c r="M58" s="30">
        <v>25</v>
      </c>
      <c r="N58" s="28">
        <v>25</v>
      </c>
      <c r="O58" s="29" t="s">
        <v>0</v>
      </c>
      <c r="P58" s="30">
        <v>14</v>
      </c>
      <c r="Q58" s="28">
        <v>25</v>
      </c>
      <c r="R58" s="29" t="s">
        <v>0</v>
      </c>
      <c r="S58" s="30">
        <v>16</v>
      </c>
      <c r="T58" s="28"/>
      <c r="U58" s="29" t="s">
        <v>0</v>
      </c>
      <c r="V58" s="30"/>
      <c r="W58" s="31">
        <f t="shared" si="126"/>
        <v>98</v>
      </c>
      <c r="X58" s="29" t="s">
        <v>0</v>
      </c>
      <c r="Y58" s="32">
        <f t="shared" si="127"/>
        <v>73</v>
      </c>
      <c r="AD58" s="12">
        <f t="shared" si="128"/>
        <v>4</v>
      </c>
      <c r="AE58" s="12" t="str">
        <f t="shared" si="129"/>
        <v>Turkey</v>
      </c>
      <c r="AF58" s="12">
        <f t="shared" si="130"/>
        <v>1</v>
      </c>
      <c r="AG58" s="12">
        <f t="shared" si="131"/>
        <v>3</v>
      </c>
      <c r="AH58" s="12">
        <f t="shared" si="132"/>
        <v>1</v>
      </c>
      <c r="AI58" s="12">
        <f t="shared" si="133"/>
        <v>0</v>
      </c>
      <c r="AJ58" s="12">
        <f t="shared" si="134"/>
        <v>1</v>
      </c>
      <c r="AK58" s="12">
        <f t="shared" si="135"/>
        <v>0</v>
      </c>
      <c r="AL58" s="12">
        <f t="shared" si="136"/>
        <v>98</v>
      </c>
      <c r="AM58" s="12">
        <f t="shared" si="137"/>
        <v>73</v>
      </c>
      <c r="AO58" s="12" t="str">
        <f t="shared" si="138"/>
        <v>Libya</v>
      </c>
      <c r="AP58" s="12">
        <f t="shared" si="139"/>
        <v>1</v>
      </c>
      <c r="AQ58" s="12">
        <f t="shared" si="140"/>
        <v>1</v>
      </c>
      <c r="AR58" s="12">
        <f t="shared" si="141"/>
        <v>3</v>
      </c>
      <c r="AS58" s="12">
        <f t="shared" si="142"/>
        <v>0</v>
      </c>
      <c r="AT58" s="12">
        <f t="shared" si="143"/>
        <v>1</v>
      </c>
      <c r="AU58" s="12">
        <f t="shared" si="144"/>
        <v>0</v>
      </c>
      <c r="AV58" s="12">
        <f t="shared" si="145"/>
        <v>73</v>
      </c>
      <c r="AW58" s="12">
        <f t="shared" si="146"/>
        <v>98</v>
      </c>
      <c r="AX58" s="50">
        <v>4</v>
      </c>
      <c r="AY58" s="51" t="str">
        <f>VLOOKUP($AX58,Dummy!$B$27:$S$30,2,FALSE)</f>
        <v>Libya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2</v>
      </c>
      <c r="BI58" s="50">
        <f>VLOOKUP($AX58,Dummy!$B$27:$S$30,12,FALSE)</f>
        <v>1</v>
      </c>
      <c r="BJ58" s="50">
        <f>VLOOKUP($AX58,Dummy!$B$27:$S$30,13,FALSE)</f>
        <v>2</v>
      </c>
      <c r="BK58" s="50">
        <f>VLOOKUP($AX58,Dummy!$B$27:$S$30,14,FALSE)</f>
        <v>9</v>
      </c>
      <c r="BL58" s="52">
        <f>VLOOKUP($AX58,Dummy!$B$27:$S$30,15,FALSE)</f>
        <v>222.2222222222222</v>
      </c>
      <c r="BM58" s="50">
        <f>VLOOKUP($AX58,Dummy!$B$27:$S$30,16,FALSE)</f>
        <v>206</v>
      </c>
      <c r="BN58" s="50">
        <f>VLOOKUP($AX58,Dummy!$B$27:$S$30,17,FALSE)</f>
        <v>274</v>
      </c>
      <c r="BO58" s="52">
        <f>VLOOKUP($AX58,Dummy!$B$27:$S$30,18,FALSE)</f>
        <v>751.8248175182481</v>
      </c>
    </row>
    <row r="59" spans="2:67" x14ac:dyDescent="0.25">
      <c r="B59" s="23">
        <v>45915</v>
      </c>
      <c r="C59" s="24" t="str">
        <f>AB54</f>
        <v>Japan</v>
      </c>
      <c r="D59" s="48">
        <v>0</v>
      </c>
      <c r="E59" s="49" t="s">
        <v>0</v>
      </c>
      <c r="F59" s="47">
        <v>3</v>
      </c>
      <c r="G59" s="25" t="str">
        <f>AB55</f>
        <v>Canada</v>
      </c>
      <c r="H59" s="28">
        <v>20</v>
      </c>
      <c r="I59" s="29" t="s">
        <v>0</v>
      </c>
      <c r="J59" s="30">
        <v>25</v>
      </c>
      <c r="K59" s="28">
        <v>23</v>
      </c>
      <c r="L59" s="29" t="s">
        <v>0</v>
      </c>
      <c r="M59" s="30">
        <v>25</v>
      </c>
      <c r="N59" s="28">
        <v>22</v>
      </c>
      <c r="O59" s="29" t="s">
        <v>0</v>
      </c>
      <c r="P59" s="30">
        <v>25</v>
      </c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65</v>
      </c>
      <c r="X59" s="29" t="s">
        <v>0</v>
      </c>
      <c r="Y59" s="32">
        <f t="shared" si="127"/>
        <v>75</v>
      </c>
      <c r="AD59" s="12">
        <f t="shared" si="128"/>
        <v>3</v>
      </c>
      <c r="AE59" s="12" t="str">
        <f t="shared" si="129"/>
        <v>Canada</v>
      </c>
      <c r="AF59" s="12">
        <f t="shared" si="130"/>
        <v>1</v>
      </c>
      <c r="AG59" s="12">
        <f t="shared" si="131"/>
        <v>3</v>
      </c>
      <c r="AH59" s="12">
        <f t="shared" si="132"/>
        <v>0</v>
      </c>
      <c r="AI59" s="12">
        <f t="shared" si="133"/>
        <v>1</v>
      </c>
      <c r="AJ59" s="12">
        <f t="shared" si="134"/>
        <v>0</v>
      </c>
      <c r="AK59" s="12">
        <f t="shared" si="135"/>
        <v>0</v>
      </c>
      <c r="AL59" s="12">
        <f t="shared" si="136"/>
        <v>75</v>
      </c>
      <c r="AM59" s="12">
        <f t="shared" si="137"/>
        <v>65</v>
      </c>
      <c r="AO59" s="12" t="str">
        <f t="shared" si="138"/>
        <v>Japan</v>
      </c>
      <c r="AP59" s="12">
        <f t="shared" si="139"/>
        <v>1</v>
      </c>
      <c r="AQ59" s="12">
        <f t="shared" si="140"/>
        <v>0</v>
      </c>
      <c r="AR59" s="12">
        <f t="shared" si="141"/>
        <v>3</v>
      </c>
      <c r="AS59" s="12">
        <f t="shared" si="142"/>
        <v>0</v>
      </c>
      <c r="AT59" s="12">
        <f t="shared" si="143"/>
        <v>0</v>
      </c>
      <c r="AU59" s="12">
        <f t="shared" si="144"/>
        <v>1</v>
      </c>
      <c r="AV59" s="12">
        <f t="shared" si="145"/>
        <v>65</v>
      </c>
      <c r="AW59" s="12">
        <f t="shared" si="146"/>
        <v>75</v>
      </c>
      <c r="BA59" s="26">
        <f>SUM(BA55:BA58)</f>
        <v>12</v>
      </c>
    </row>
    <row r="60" spans="2:67" ht="15" customHeight="1" x14ac:dyDescent="0.25">
      <c r="B60" s="76" t="s">
        <v>53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</row>
    <row r="61" spans="2:67" x14ac:dyDescent="0.25">
      <c r="B61" s="20" t="s">
        <v>54</v>
      </c>
      <c r="C61" s="21"/>
      <c r="D61" s="60" t="s">
        <v>55</v>
      </c>
      <c r="E61" s="60"/>
      <c r="F61" s="60"/>
      <c r="G61" s="22"/>
      <c r="H61" s="61" t="s">
        <v>56</v>
      </c>
      <c r="I61" s="59"/>
      <c r="J61" s="59"/>
      <c r="K61" s="61" t="s">
        <v>57</v>
      </c>
      <c r="L61" s="59"/>
      <c r="M61" s="59"/>
      <c r="N61" s="61" t="s">
        <v>58</v>
      </c>
      <c r="O61" s="59"/>
      <c r="P61" s="59"/>
      <c r="Q61" s="61" t="s">
        <v>59</v>
      </c>
      <c r="R61" s="59"/>
      <c r="S61" s="59"/>
      <c r="T61" s="61" t="s">
        <v>60</v>
      </c>
      <c r="U61" s="59"/>
      <c r="V61" s="59"/>
      <c r="W61" s="59" t="s">
        <v>1</v>
      </c>
      <c r="X61" s="59"/>
      <c r="Y61" s="59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69" t="s">
        <v>61</v>
      </c>
      <c r="AY61" s="70"/>
      <c r="AZ61" s="71"/>
      <c r="BA61" s="69" t="s">
        <v>62</v>
      </c>
      <c r="BB61" s="70"/>
      <c r="BC61" s="71"/>
      <c r="BD61" s="69" t="s">
        <v>63</v>
      </c>
      <c r="BE61" s="70"/>
      <c r="BF61" s="70"/>
      <c r="BG61" s="70"/>
      <c r="BH61" s="70"/>
      <c r="BI61" s="71"/>
      <c r="BJ61" s="69" t="s">
        <v>30</v>
      </c>
      <c r="BK61" s="70"/>
      <c r="BL61" s="71"/>
      <c r="BM61" s="69" t="s">
        <v>64</v>
      </c>
      <c r="BN61" s="70"/>
      <c r="BO61" s="71"/>
    </row>
    <row r="62" spans="2:67" x14ac:dyDescent="0.25">
      <c r="B62" s="11">
        <v>45914</v>
      </c>
      <c r="C62" s="6" t="str">
        <f>AB63</f>
        <v>Serbia</v>
      </c>
      <c r="D62" s="48">
        <v>0</v>
      </c>
      <c r="E62" s="49" t="s">
        <v>0</v>
      </c>
      <c r="F62" s="47">
        <v>3</v>
      </c>
      <c r="G62" s="5" t="str">
        <f>AB64</f>
        <v>Czech Republic</v>
      </c>
      <c r="H62" s="28">
        <v>22</v>
      </c>
      <c r="I62" s="29" t="s">
        <v>0</v>
      </c>
      <c r="J62" s="30">
        <v>25</v>
      </c>
      <c r="K62" s="28">
        <v>23</v>
      </c>
      <c r="L62" s="29" t="s">
        <v>0</v>
      </c>
      <c r="M62" s="30">
        <v>25</v>
      </c>
      <c r="N62" s="28">
        <v>20</v>
      </c>
      <c r="O62" s="29" t="s">
        <v>0</v>
      </c>
      <c r="P62" s="30">
        <v>25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65</v>
      </c>
      <c r="X62" s="29" t="s">
        <v>0</v>
      </c>
      <c r="Y62" s="32">
        <f>SUM(J62,M62,P62,S62,V62)</f>
        <v>75</v>
      </c>
      <c r="AA62" s="12">
        <v>1</v>
      </c>
      <c r="AB62" s="12" t="s">
        <v>107</v>
      </c>
      <c r="AD62" s="12">
        <f t="shared" ref="AD62:AD67" si="147">AG62+AH62</f>
        <v>3</v>
      </c>
      <c r="AE62" s="12" t="str">
        <f t="shared" ref="AE62:AE67" si="148">IF(OR(D62="",F62=""),0,IF(D62&gt;F62,C62,G62))</f>
        <v>Czech Republic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65</v>
      </c>
      <c r="AO62" s="12" t="str">
        <f t="shared" ref="AO62:AO67" si="157">IF(OR(D62="",F62=""),0,IF(D62&lt;F62,C62,G62))</f>
        <v>Serbia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65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65</v>
      </c>
      <c r="AZ62" s="27" t="s">
        <v>26</v>
      </c>
      <c r="BA62" s="27" t="s">
        <v>66</v>
      </c>
      <c r="BB62" s="27" t="s">
        <v>67</v>
      </c>
      <c r="BC62" s="27" t="s">
        <v>68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67</v>
      </c>
      <c r="BK62" s="27" t="s">
        <v>68</v>
      </c>
      <c r="BL62" s="27" t="s">
        <v>69</v>
      </c>
      <c r="BM62" s="27" t="s">
        <v>67</v>
      </c>
      <c r="BN62" s="27" t="s">
        <v>68</v>
      </c>
      <c r="BO62" s="27" t="s">
        <v>70</v>
      </c>
    </row>
    <row r="63" spans="2:67" x14ac:dyDescent="0.25">
      <c r="B63" s="11">
        <v>45914</v>
      </c>
      <c r="C63" s="6" t="str">
        <f>AB62</f>
        <v>Brazil</v>
      </c>
      <c r="D63" s="48">
        <v>3</v>
      </c>
      <c r="E63" s="49" t="s">
        <v>0</v>
      </c>
      <c r="F63" s="47">
        <v>1</v>
      </c>
      <c r="G63" s="5" t="str">
        <f>AB65</f>
        <v>China</v>
      </c>
      <c r="H63" s="28">
        <v>19</v>
      </c>
      <c r="I63" s="29" t="s">
        <v>0</v>
      </c>
      <c r="J63" s="30">
        <v>25</v>
      </c>
      <c r="K63" s="28">
        <v>25</v>
      </c>
      <c r="L63" s="29" t="s">
        <v>0</v>
      </c>
      <c r="M63" s="30">
        <v>23</v>
      </c>
      <c r="N63" s="28">
        <v>25</v>
      </c>
      <c r="O63" s="29" t="s">
        <v>0</v>
      </c>
      <c r="P63" s="30">
        <v>22</v>
      </c>
      <c r="Q63" s="28">
        <v>25</v>
      </c>
      <c r="R63" s="29" t="s">
        <v>0</v>
      </c>
      <c r="S63" s="30">
        <v>21</v>
      </c>
      <c r="T63" s="28"/>
      <c r="U63" s="29" t="s">
        <v>0</v>
      </c>
      <c r="V63" s="30"/>
      <c r="W63" s="31">
        <f t="shared" ref="W63:W67" si="166">SUM(H63,K63,N63,Q63,T63)</f>
        <v>94</v>
      </c>
      <c r="X63" s="29" t="s">
        <v>0</v>
      </c>
      <c r="Y63" s="32">
        <f t="shared" ref="Y63:Y67" si="167">SUM(J63,M63,P63,S63,V63)</f>
        <v>91</v>
      </c>
      <c r="AA63" s="12">
        <v>2</v>
      </c>
      <c r="AB63" s="12" t="s">
        <v>108</v>
      </c>
      <c r="AD63" s="12">
        <f t="shared" si="147"/>
        <v>4</v>
      </c>
      <c r="AE63" s="12" t="str">
        <f t="shared" si="148"/>
        <v>Brazil</v>
      </c>
      <c r="AF63" s="12">
        <f t="shared" si="149"/>
        <v>1</v>
      </c>
      <c r="AG63" s="12">
        <f t="shared" si="150"/>
        <v>3</v>
      </c>
      <c r="AH63" s="12">
        <f t="shared" si="151"/>
        <v>1</v>
      </c>
      <c r="AI63" s="12">
        <f t="shared" si="152"/>
        <v>0</v>
      </c>
      <c r="AJ63" s="12">
        <f t="shared" si="153"/>
        <v>1</v>
      </c>
      <c r="AK63" s="12">
        <f t="shared" si="154"/>
        <v>0</v>
      </c>
      <c r="AL63" s="12">
        <f t="shared" si="155"/>
        <v>94</v>
      </c>
      <c r="AM63" s="12">
        <f t="shared" si="156"/>
        <v>91</v>
      </c>
      <c r="AO63" s="12" t="str">
        <f t="shared" si="157"/>
        <v>China</v>
      </c>
      <c r="AP63" s="12">
        <f t="shared" si="158"/>
        <v>1</v>
      </c>
      <c r="AQ63" s="12">
        <f t="shared" si="159"/>
        <v>1</v>
      </c>
      <c r="AR63" s="12">
        <f t="shared" si="160"/>
        <v>3</v>
      </c>
      <c r="AS63" s="12">
        <f t="shared" si="161"/>
        <v>0</v>
      </c>
      <c r="AT63" s="12">
        <f t="shared" si="162"/>
        <v>1</v>
      </c>
      <c r="AU63" s="12">
        <f t="shared" si="163"/>
        <v>0</v>
      </c>
      <c r="AV63" s="12">
        <f t="shared" si="164"/>
        <v>91</v>
      </c>
      <c r="AW63" s="12">
        <f t="shared" si="165"/>
        <v>94</v>
      </c>
      <c r="AX63" s="50">
        <v>1</v>
      </c>
      <c r="AY63" s="51" t="str">
        <f>VLOOKUP($AX63,Dummy!$B$31:$S$34,2,FALSE)</f>
        <v>Serbia</v>
      </c>
      <c r="AZ63" s="50">
        <f>VLOOKUP($AX63,Dummy!$B$31:$S$34,3,FALSE)</f>
        <v>6</v>
      </c>
      <c r="BA63" s="50">
        <f>VLOOKUP($AX63,Dummy!$B$31:$S$34,4,FALSE)</f>
        <v>3</v>
      </c>
      <c r="BB63" s="50">
        <f>VLOOKUP($AX63,Dummy!$B$31:$S$34,5,FALSE)</f>
        <v>2</v>
      </c>
      <c r="BC63" s="50">
        <f>VLOOKUP($AX63,Dummy!$B$31:$S$34,6,FALSE)</f>
        <v>1</v>
      </c>
      <c r="BD63" s="50">
        <f>VLOOKUP($AX63,Dummy!$B$31:$S$34,7,FALSE)</f>
        <v>2</v>
      </c>
      <c r="BE63" s="50">
        <f>VLOOKUP($AX63,Dummy!$B$31:$S$34,8,FALSE)</f>
        <v>0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1</v>
      </c>
      <c r="BJ63" s="50">
        <f>VLOOKUP($AX63,Dummy!$B$31:$S$34,13,FALSE)</f>
        <v>6</v>
      </c>
      <c r="BK63" s="50">
        <f>VLOOKUP($AX63,Dummy!$B$31:$S$34,14,FALSE)</f>
        <v>3</v>
      </c>
      <c r="BL63" s="52">
        <f>VLOOKUP($AX63,Dummy!$B$31:$S$34,15,FALSE)</f>
        <v>2000</v>
      </c>
      <c r="BM63" s="50">
        <f>VLOOKUP($AX63,Dummy!$B$31:$S$34,16,FALSE)</f>
        <v>219</v>
      </c>
      <c r="BN63" s="50">
        <f>VLOOKUP($AX63,Dummy!$B$31:$S$34,17,FALSE)</f>
        <v>203</v>
      </c>
      <c r="BO63" s="52">
        <f>VLOOKUP($AX63,Dummy!$B$31:$S$34,18,FALSE)</f>
        <v>1078.8177339901476</v>
      </c>
    </row>
    <row r="64" spans="2:67" x14ac:dyDescent="0.25">
      <c r="B64" s="11">
        <v>45916</v>
      </c>
      <c r="C64" s="6" t="str">
        <f>AB63</f>
        <v>Serbia</v>
      </c>
      <c r="D64" s="48">
        <v>3</v>
      </c>
      <c r="E64" s="49" t="s">
        <v>0</v>
      </c>
      <c r="F64" s="47">
        <v>0</v>
      </c>
      <c r="G64" s="5" t="str">
        <f>AB65</f>
        <v>China</v>
      </c>
      <c r="H64" s="28">
        <v>25</v>
      </c>
      <c r="I64" s="29" t="s">
        <v>0</v>
      </c>
      <c r="J64" s="30">
        <v>18</v>
      </c>
      <c r="K64" s="28">
        <v>25</v>
      </c>
      <c r="L64" s="29" t="s">
        <v>0</v>
      </c>
      <c r="M64" s="30">
        <v>19</v>
      </c>
      <c r="N64" s="28">
        <v>29</v>
      </c>
      <c r="O64" s="29" t="s">
        <v>0</v>
      </c>
      <c r="P64" s="30">
        <v>27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79</v>
      </c>
      <c r="X64" s="29" t="s">
        <v>0</v>
      </c>
      <c r="Y64" s="32">
        <f t="shared" si="167"/>
        <v>64</v>
      </c>
      <c r="AA64" s="12">
        <v>3</v>
      </c>
      <c r="AB64" s="12" t="s">
        <v>109</v>
      </c>
      <c r="AD64" s="12">
        <f t="shared" si="147"/>
        <v>3</v>
      </c>
      <c r="AE64" s="12" t="str">
        <f t="shared" si="148"/>
        <v>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79</v>
      </c>
      <c r="AM64" s="12">
        <f t="shared" si="156"/>
        <v>64</v>
      </c>
      <c r="AO64" s="12" t="str">
        <f t="shared" si="157"/>
        <v>China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64</v>
      </c>
      <c r="AW64" s="12">
        <f t="shared" si="165"/>
        <v>79</v>
      </c>
      <c r="AX64" s="50">
        <v>2</v>
      </c>
      <c r="AY64" s="51" t="str">
        <f>VLOOKUP($AX64,Dummy!$B$31:$S$34,2,FALSE)</f>
        <v>Czech Republic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1</v>
      </c>
      <c r="BJ64" s="50">
        <f>VLOOKUP($AX64,Dummy!$B$31:$S$34,13,FALSE)</f>
        <v>6</v>
      </c>
      <c r="BK64" s="50">
        <f>VLOOKUP($AX64,Dummy!$B$31:$S$34,14,FALSE)</f>
        <v>3</v>
      </c>
      <c r="BL64" s="52">
        <f>VLOOKUP($AX64,Dummy!$B$31:$S$34,15,FALSE)</f>
        <v>2000</v>
      </c>
      <c r="BM64" s="50">
        <f>VLOOKUP($AX64,Dummy!$B$31:$S$34,16,FALSE)</f>
        <v>202</v>
      </c>
      <c r="BN64" s="50">
        <f>VLOOKUP($AX64,Dummy!$B$31:$S$34,17,FALSE)</f>
        <v>201</v>
      </c>
      <c r="BO64" s="52">
        <f>VLOOKUP($AX64,Dummy!$B$31:$S$34,18,FALSE)</f>
        <v>1004.9751243781095</v>
      </c>
    </row>
    <row r="65" spans="2:67" x14ac:dyDescent="0.25">
      <c r="B65" s="11">
        <v>45916</v>
      </c>
      <c r="C65" s="6" t="str">
        <f>AB62</f>
        <v>Brazil</v>
      </c>
      <c r="D65" s="48">
        <v>3</v>
      </c>
      <c r="E65" s="49" t="s">
        <v>0</v>
      </c>
      <c r="F65" s="47">
        <v>0</v>
      </c>
      <c r="G65" s="5" t="str">
        <f>AB64</f>
        <v>Czech Republic</v>
      </c>
      <c r="H65" s="28">
        <v>25</v>
      </c>
      <c r="I65" s="29" t="s">
        <v>0</v>
      </c>
      <c r="J65" s="30">
        <v>11</v>
      </c>
      <c r="K65" s="28">
        <v>25</v>
      </c>
      <c r="L65" s="29" t="s">
        <v>0</v>
      </c>
      <c r="M65" s="30">
        <v>22</v>
      </c>
      <c r="N65" s="28">
        <v>25</v>
      </c>
      <c r="O65" s="29" t="s">
        <v>0</v>
      </c>
      <c r="P65" s="30">
        <v>18</v>
      </c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75</v>
      </c>
      <c r="X65" s="29" t="s">
        <v>0</v>
      </c>
      <c r="Y65" s="32">
        <f t="shared" si="167"/>
        <v>51</v>
      </c>
      <c r="AA65" s="12">
        <v>4</v>
      </c>
      <c r="AB65" s="12" t="s">
        <v>110</v>
      </c>
      <c r="AD65" s="12">
        <f t="shared" si="147"/>
        <v>3</v>
      </c>
      <c r="AE65" s="12" t="str">
        <f t="shared" si="148"/>
        <v>Brazil</v>
      </c>
      <c r="AF65" s="12">
        <f t="shared" si="149"/>
        <v>1</v>
      </c>
      <c r="AG65" s="12">
        <f t="shared" si="150"/>
        <v>3</v>
      </c>
      <c r="AH65" s="12">
        <f t="shared" si="151"/>
        <v>0</v>
      </c>
      <c r="AI65" s="12">
        <f t="shared" si="152"/>
        <v>1</v>
      </c>
      <c r="AJ65" s="12">
        <f t="shared" si="153"/>
        <v>0</v>
      </c>
      <c r="AK65" s="12">
        <f t="shared" si="154"/>
        <v>0</v>
      </c>
      <c r="AL65" s="12">
        <f t="shared" si="155"/>
        <v>75</v>
      </c>
      <c r="AM65" s="12">
        <f t="shared" si="156"/>
        <v>51</v>
      </c>
      <c r="AO65" s="12" t="str">
        <f t="shared" si="157"/>
        <v>Czech Republic</v>
      </c>
      <c r="AP65" s="12">
        <f t="shared" si="158"/>
        <v>1</v>
      </c>
      <c r="AQ65" s="12">
        <f t="shared" si="159"/>
        <v>0</v>
      </c>
      <c r="AR65" s="12">
        <f t="shared" si="160"/>
        <v>3</v>
      </c>
      <c r="AS65" s="12">
        <f t="shared" si="161"/>
        <v>0</v>
      </c>
      <c r="AT65" s="12">
        <f t="shared" si="162"/>
        <v>0</v>
      </c>
      <c r="AU65" s="12">
        <f t="shared" si="163"/>
        <v>1</v>
      </c>
      <c r="AV65" s="12">
        <f t="shared" si="164"/>
        <v>51</v>
      </c>
      <c r="AW65" s="12">
        <f t="shared" si="165"/>
        <v>75</v>
      </c>
      <c r="AX65" s="50">
        <v>3</v>
      </c>
      <c r="AY65" s="51" t="str">
        <f>VLOOKUP($AX65,Dummy!$B$31:$S$34,2,FALSE)</f>
        <v>Brazil</v>
      </c>
      <c r="AZ65" s="50">
        <f>VLOOKUP($AX65,Dummy!$B$31:$S$34,3,FALSE)</f>
        <v>6</v>
      </c>
      <c r="BA65" s="50">
        <f>VLOOKUP($AX65,Dummy!$B$31:$S$34,4,FALSE)</f>
        <v>3</v>
      </c>
      <c r="BB65" s="50">
        <f>VLOOKUP($AX65,Dummy!$B$31:$S$34,5,FALSE)</f>
        <v>2</v>
      </c>
      <c r="BC65" s="50">
        <f>VLOOKUP($AX65,Dummy!$B$31:$S$34,6,FALSE)</f>
        <v>1</v>
      </c>
      <c r="BD65" s="50">
        <f>VLOOKUP($AX65,Dummy!$B$31:$S$34,7,FALSE)</f>
        <v>1</v>
      </c>
      <c r="BE65" s="50">
        <f>VLOOKUP($AX65,Dummy!$B$31:$S$34,8,FALSE)</f>
        <v>1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6</v>
      </c>
      <c r="BK65" s="50">
        <f>VLOOKUP($AX65,Dummy!$B$31:$S$34,14,FALSE)</f>
        <v>4</v>
      </c>
      <c r="BL65" s="52">
        <f>VLOOKUP($AX65,Dummy!$B$31:$S$34,15,FALSE)</f>
        <v>1500</v>
      </c>
      <c r="BM65" s="50">
        <f>VLOOKUP($AX65,Dummy!$B$31:$S$34,16,FALSE)</f>
        <v>233</v>
      </c>
      <c r="BN65" s="50">
        <f>VLOOKUP($AX65,Dummy!$B$31:$S$34,17,FALSE)</f>
        <v>217</v>
      </c>
      <c r="BO65" s="52">
        <f>VLOOKUP($AX65,Dummy!$B$31:$S$34,18,FALSE)</f>
        <v>1073.7327188940092</v>
      </c>
    </row>
    <row r="66" spans="2:67" x14ac:dyDescent="0.25">
      <c r="B66" s="11">
        <v>45918</v>
      </c>
      <c r="C66" s="6" t="str">
        <f>AB64</f>
        <v>Czech Republic</v>
      </c>
      <c r="D66" s="48">
        <v>3</v>
      </c>
      <c r="E66" s="49" t="s">
        <v>0</v>
      </c>
      <c r="F66" s="47">
        <v>0</v>
      </c>
      <c r="G66" s="5" t="str">
        <f>AB65</f>
        <v>China</v>
      </c>
      <c r="H66" s="28">
        <v>26</v>
      </c>
      <c r="I66" s="29" t="s">
        <v>0</v>
      </c>
      <c r="J66" s="30">
        <v>24</v>
      </c>
      <c r="K66" s="28">
        <v>25</v>
      </c>
      <c r="L66" s="29" t="s">
        <v>0</v>
      </c>
      <c r="M66" s="30">
        <v>19</v>
      </c>
      <c r="N66" s="28">
        <v>25</v>
      </c>
      <c r="O66" s="29" t="s">
        <v>0</v>
      </c>
      <c r="P66" s="30">
        <v>18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76</v>
      </c>
      <c r="X66" s="29" t="s">
        <v>0</v>
      </c>
      <c r="Y66" s="32">
        <f t="shared" si="167"/>
        <v>61</v>
      </c>
      <c r="AD66" s="12">
        <f t="shared" si="147"/>
        <v>3</v>
      </c>
      <c r="AE66" s="12" t="str">
        <f t="shared" si="148"/>
        <v>Czech Republic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76</v>
      </c>
      <c r="AM66" s="12">
        <f t="shared" si="156"/>
        <v>61</v>
      </c>
      <c r="AO66" s="12" t="str">
        <f t="shared" si="157"/>
        <v>China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61</v>
      </c>
      <c r="AW66" s="12">
        <f t="shared" si="165"/>
        <v>76</v>
      </c>
      <c r="AX66" s="50">
        <v>4</v>
      </c>
      <c r="AY66" s="51" t="str">
        <f>VLOOKUP($AX66,Dummy!$B$31:$S$34,2,FALSE)</f>
        <v>China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1</v>
      </c>
      <c r="BI66" s="50">
        <f>VLOOKUP($AX66,Dummy!$B$31:$S$34,12,FALSE)</f>
        <v>2</v>
      </c>
      <c r="BJ66" s="50">
        <f>VLOOKUP($AX66,Dummy!$B$31:$S$34,13,FALSE)</f>
        <v>1</v>
      </c>
      <c r="BK66" s="50">
        <f>VLOOKUP($AX66,Dummy!$B$31:$S$34,14,FALSE)</f>
        <v>9</v>
      </c>
      <c r="BL66" s="52">
        <f>VLOOKUP($AX66,Dummy!$B$31:$S$34,15,FALSE)</f>
        <v>111.1111111111111</v>
      </c>
      <c r="BM66" s="50">
        <f>VLOOKUP($AX66,Dummy!$B$31:$S$34,16,FALSE)</f>
        <v>216</v>
      </c>
      <c r="BN66" s="50">
        <f>VLOOKUP($AX66,Dummy!$B$31:$S$34,17,FALSE)</f>
        <v>249</v>
      </c>
      <c r="BO66" s="52">
        <f>VLOOKUP($AX66,Dummy!$B$31:$S$34,18,FALSE)</f>
        <v>867.46987951807228</v>
      </c>
    </row>
    <row r="67" spans="2:67" x14ac:dyDescent="0.25">
      <c r="B67" s="11">
        <v>45918</v>
      </c>
      <c r="C67" s="6" t="str">
        <f>AB62</f>
        <v>Brazil</v>
      </c>
      <c r="D67" s="48">
        <v>0</v>
      </c>
      <c r="E67" s="49" t="s">
        <v>0</v>
      </c>
      <c r="F67" s="47">
        <v>3</v>
      </c>
      <c r="G67" s="5" t="str">
        <f>AB63</f>
        <v>Serbia</v>
      </c>
      <c r="H67" s="28">
        <v>22</v>
      </c>
      <c r="I67" s="29" t="s">
        <v>0</v>
      </c>
      <c r="J67" s="30">
        <v>25</v>
      </c>
      <c r="K67" s="28">
        <v>20</v>
      </c>
      <c r="L67" s="29" t="s">
        <v>0</v>
      </c>
      <c r="M67" s="30">
        <v>25</v>
      </c>
      <c r="N67" s="28">
        <v>22</v>
      </c>
      <c r="O67" s="29" t="s">
        <v>0</v>
      </c>
      <c r="P67" s="30">
        <v>25</v>
      </c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64</v>
      </c>
      <c r="X67" s="29" t="s">
        <v>0</v>
      </c>
      <c r="Y67" s="32">
        <f t="shared" si="167"/>
        <v>75</v>
      </c>
      <c r="AD67" s="12">
        <f t="shared" si="147"/>
        <v>3</v>
      </c>
      <c r="AE67" s="12" t="str">
        <f t="shared" si="148"/>
        <v>Serbia</v>
      </c>
      <c r="AF67" s="12">
        <f t="shared" si="149"/>
        <v>1</v>
      </c>
      <c r="AG67" s="12">
        <f t="shared" si="150"/>
        <v>3</v>
      </c>
      <c r="AH67" s="12">
        <f t="shared" si="151"/>
        <v>0</v>
      </c>
      <c r="AI67" s="12">
        <f t="shared" si="152"/>
        <v>1</v>
      </c>
      <c r="AJ67" s="12">
        <f t="shared" si="153"/>
        <v>0</v>
      </c>
      <c r="AK67" s="12">
        <f t="shared" si="154"/>
        <v>0</v>
      </c>
      <c r="AL67" s="12">
        <f t="shared" si="155"/>
        <v>75</v>
      </c>
      <c r="AM67" s="12">
        <f t="shared" si="156"/>
        <v>64</v>
      </c>
      <c r="AO67" s="12" t="str">
        <f t="shared" si="157"/>
        <v>Brazil</v>
      </c>
      <c r="AP67" s="12">
        <f t="shared" si="158"/>
        <v>1</v>
      </c>
      <c r="AQ67" s="12">
        <f t="shared" si="159"/>
        <v>0</v>
      </c>
      <c r="AR67" s="12">
        <f t="shared" si="160"/>
        <v>3</v>
      </c>
      <c r="AS67" s="12">
        <f t="shared" si="161"/>
        <v>0</v>
      </c>
      <c r="AT67" s="12">
        <f t="shared" si="162"/>
        <v>0</v>
      </c>
      <c r="AU67" s="12">
        <f t="shared" si="163"/>
        <v>1</v>
      </c>
      <c r="AV67" s="12">
        <f t="shared" si="164"/>
        <v>64</v>
      </c>
      <c r="AW67" s="12">
        <f t="shared" si="165"/>
        <v>75</v>
      </c>
      <c r="BA67" s="26">
        <f>SUM(BA63:BA66)</f>
        <v>12</v>
      </c>
    </row>
  </sheetData>
  <sheetProtection password="CC01" sheet="1" selectLockedCells="1"/>
  <mergeCells count="111"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</mergeCells>
  <conditionalFormatting sqref="T6:V11 T22:V27 T54:V59">
    <cfRule type="expression" dxfId="95" priority="464">
      <formula>$AD6&lt;5</formula>
    </cfRule>
  </conditionalFormatting>
  <conditionalFormatting sqref="Q6:S11 Q22:S27 Q54:S59">
    <cfRule type="expression" dxfId="94" priority="463">
      <formula>$AD6&lt;4</formula>
    </cfRule>
  </conditionalFormatting>
  <conditionalFormatting sqref="N6:P11 N22:P27 N54:P59">
    <cfRule type="expression" dxfId="93" priority="462">
      <formula>$AD6&lt;3</formula>
    </cfRule>
  </conditionalFormatting>
  <conditionalFormatting sqref="K6:M11 K22:M27 K54:M59">
    <cfRule type="expression" dxfId="92" priority="461">
      <formula>$AD6&lt;2</formula>
    </cfRule>
  </conditionalFormatting>
  <conditionalFormatting sqref="H6:J11 W6:Y11 H22:J27 W22:Y27 H54:J59 W54:Y59">
    <cfRule type="expression" dxfId="91" priority="460">
      <formula>$AD6=0</formula>
    </cfRule>
  </conditionalFormatting>
  <conditionalFormatting sqref="T14:V19 T38:V43">
    <cfRule type="expression" dxfId="90" priority="452">
      <formula>$AD14&lt;5</formula>
    </cfRule>
  </conditionalFormatting>
  <conditionalFormatting sqref="Q14:S19 Q38:S43">
    <cfRule type="expression" dxfId="89" priority="451">
      <formula>$AD14&lt;4</formula>
    </cfRule>
  </conditionalFormatting>
  <conditionalFormatting sqref="N14:P19 N38:P43">
    <cfRule type="expression" dxfId="88" priority="450">
      <formula>$AD14&lt;3</formula>
    </cfRule>
  </conditionalFormatting>
  <conditionalFormatting sqref="K14:M19 K38:M43">
    <cfRule type="expression" dxfId="87" priority="449">
      <formula>$AD14&lt;2</formula>
    </cfRule>
  </conditionalFormatting>
  <conditionalFormatting sqref="H14:J19 W14:Y19 H38:J43 W38:Y43">
    <cfRule type="expression" dxfId="86" priority="448">
      <formula>$AD14=0</formula>
    </cfRule>
  </conditionalFormatting>
  <conditionalFormatting sqref="W14:Y19">
    <cfRule type="expression" dxfId="85" priority="447">
      <formula>$AD14=0</formula>
    </cfRule>
  </conditionalFormatting>
  <conditionalFormatting sqref="W14:Y19">
    <cfRule type="expression" dxfId="84" priority="409">
      <formula>$AD14=0</formula>
    </cfRule>
  </conditionalFormatting>
  <conditionalFormatting sqref="T38:V43">
    <cfRule type="expression" dxfId="83" priority="371">
      <formula>$AD38&lt;5</formula>
    </cfRule>
  </conditionalFormatting>
  <conditionalFormatting sqref="Q38:S43">
    <cfRule type="expression" dxfId="82" priority="370">
      <formula>$AD38&lt;4</formula>
    </cfRule>
  </conditionalFormatting>
  <conditionalFormatting sqref="N38:P43">
    <cfRule type="expression" dxfId="81" priority="369">
      <formula>$AD38&lt;3</formula>
    </cfRule>
  </conditionalFormatting>
  <conditionalFormatting sqref="K38:M43">
    <cfRule type="expression" dxfId="80" priority="368">
      <formula>$AD38&lt;2</formula>
    </cfRule>
  </conditionalFormatting>
  <conditionalFormatting sqref="H38:J43 W38:Y43">
    <cfRule type="expression" dxfId="79" priority="367">
      <formula>$AD38=0</formula>
    </cfRule>
  </conditionalFormatting>
  <conditionalFormatting sqref="T38:V43">
    <cfRule type="expression" dxfId="78" priority="366">
      <formula>$AD38&lt;5</formula>
    </cfRule>
  </conditionalFormatting>
  <conditionalFormatting sqref="Q38:S43">
    <cfRule type="expression" dxfId="77" priority="365">
      <formula>$AD38&lt;4</formula>
    </cfRule>
  </conditionalFormatting>
  <conditionalFormatting sqref="N38:P43">
    <cfRule type="expression" dxfId="76" priority="364">
      <formula>$AD38&lt;3</formula>
    </cfRule>
  </conditionalFormatting>
  <conditionalFormatting sqref="K38:M43">
    <cfRule type="expression" dxfId="75" priority="363">
      <formula>$AD38&lt;2</formula>
    </cfRule>
  </conditionalFormatting>
  <conditionalFormatting sqref="H38:J43 W38:Y43">
    <cfRule type="expression" dxfId="74" priority="362">
      <formula>$AD38=0</formula>
    </cfRule>
  </conditionalFormatting>
  <conditionalFormatting sqref="T38:V43">
    <cfRule type="expression" dxfId="73" priority="328">
      <formula>$AD38&lt;5</formula>
    </cfRule>
  </conditionalFormatting>
  <conditionalFormatting sqref="Q38:S43">
    <cfRule type="expression" dxfId="72" priority="327">
      <formula>$AD38&lt;4</formula>
    </cfRule>
  </conditionalFormatting>
  <conditionalFormatting sqref="N38:P43">
    <cfRule type="expression" dxfId="71" priority="326">
      <formula>$AD38&lt;3</formula>
    </cfRule>
  </conditionalFormatting>
  <conditionalFormatting sqref="K38:M43">
    <cfRule type="expression" dxfId="70" priority="325">
      <formula>$AD38&lt;2</formula>
    </cfRule>
  </conditionalFormatting>
  <conditionalFormatting sqref="H38:J43 W38:Y43">
    <cfRule type="expression" dxfId="69" priority="324">
      <formula>$AD38=0</formula>
    </cfRule>
  </conditionalFormatting>
  <conditionalFormatting sqref="T30:V35">
    <cfRule type="expression" dxfId="68" priority="320">
      <formula>$AD30&lt;5</formula>
    </cfRule>
  </conditionalFormatting>
  <conditionalFormatting sqref="Q30:S35">
    <cfRule type="expression" dxfId="67" priority="319">
      <formula>$AD30&lt;4</formula>
    </cfRule>
  </conditionalFormatting>
  <conditionalFormatting sqref="N30:P35">
    <cfRule type="expression" dxfId="66" priority="318">
      <formula>$AD30&lt;3</formula>
    </cfRule>
  </conditionalFormatting>
  <conditionalFormatting sqref="K30:M35">
    <cfRule type="expression" dxfId="65" priority="317">
      <formula>$AD30&lt;2</formula>
    </cfRule>
  </conditionalFormatting>
  <conditionalFormatting sqref="H30:J35 W30:Y35">
    <cfRule type="expression" dxfId="64" priority="316">
      <formula>$AD30=0</formula>
    </cfRule>
  </conditionalFormatting>
  <conditionalFormatting sqref="W30:Y35">
    <cfRule type="expression" dxfId="63" priority="315">
      <formula>$AD30=0</formula>
    </cfRule>
  </conditionalFormatting>
  <conditionalFormatting sqref="W30:Y35">
    <cfRule type="expression" dxfId="62" priority="314">
      <formula>$AD30=0</formula>
    </cfRule>
  </conditionalFormatting>
  <conditionalFormatting sqref="T46:V51">
    <cfRule type="expression" dxfId="61" priority="312">
      <formula>$AD46&lt;5</formula>
    </cfRule>
  </conditionalFormatting>
  <conditionalFormatting sqref="Q46:S51">
    <cfRule type="expression" dxfId="60" priority="311">
      <formula>$AD46&lt;4</formula>
    </cfRule>
  </conditionalFormatting>
  <conditionalFormatting sqref="N46:P51">
    <cfRule type="expression" dxfId="59" priority="310">
      <formula>$AD46&lt;3</formula>
    </cfRule>
  </conditionalFormatting>
  <conditionalFormatting sqref="K46:M51">
    <cfRule type="expression" dxfId="58" priority="309">
      <formula>$AD46&lt;2</formula>
    </cfRule>
  </conditionalFormatting>
  <conditionalFormatting sqref="H46:J51 W46:Y51">
    <cfRule type="expression" dxfId="57" priority="308">
      <formula>$AD46=0</formula>
    </cfRule>
  </conditionalFormatting>
  <conditionalFormatting sqref="W46:Y51">
    <cfRule type="expression" dxfId="56" priority="307">
      <formula>$AD46=0</formula>
    </cfRule>
  </conditionalFormatting>
  <conditionalFormatting sqref="W46:Y51">
    <cfRule type="expression" dxfId="55" priority="306">
      <formula>$AD46=0</formula>
    </cfRule>
  </conditionalFormatting>
  <conditionalFormatting sqref="T62:V67">
    <cfRule type="expression" dxfId="54" priority="305">
      <formula>$AD62&lt;5</formula>
    </cfRule>
  </conditionalFormatting>
  <conditionalFormatting sqref="Q62:S67">
    <cfRule type="expression" dxfId="53" priority="304">
      <formula>$AD62&lt;4</formula>
    </cfRule>
  </conditionalFormatting>
  <conditionalFormatting sqref="N62:P67">
    <cfRule type="expression" dxfId="52" priority="303">
      <formula>$AD62&lt;3</formula>
    </cfRule>
  </conditionalFormatting>
  <conditionalFormatting sqref="K62:M67">
    <cfRule type="expression" dxfId="51" priority="302">
      <formula>$AD62&lt;2</formula>
    </cfRule>
  </conditionalFormatting>
  <conditionalFormatting sqref="H62:J67 W62:Y67">
    <cfRule type="expression" dxfId="50" priority="301">
      <formula>$AD62=0</formula>
    </cfRule>
  </conditionalFormatting>
  <conditionalFormatting sqref="W62:Y67">
    <cfRule type="expression" dxfId="49" priority="300">
      <formula>$AD62=0</formula>
    </cfRule>
  </conditionalFormatting>
  <conditionalFormatting sqref="W62:Y67">
    <cfRule type="expression" dxfId="48" priority="299">
      <formula>$AD62=0</formula>
    </cfRule>
  </conditionalFormatting>
  <conditionalFormatting sqref="AX7:BO7">
    <cfRule type="expression" dxfId="47" priority="16">
      <formula>$BA11=12</formula>
    </cfRule>
  </conditionalFormatting>
  <conditionalFormatting sqref="AX8:BO8">
    <cfRule type="expression" dxfId="46" priority="15">
      <formula>$BA11=12</formula>
    </cfRule>
  </conditionalFormatting>
  <conditionalFormatting sqref="AX15:BO15">
    <cfRule type="expression" dxfId="45" priority="14">
      <formula>$BA19=12</formula>
    </cfRule>
  </conditionalFormatting>
  <conditionalFormatting sqref="AX16:BO16">
    <cfRule type="expression" dxfId="44" priority="13">
      <formula>$BA19=12</formula>
    </cfRule>
  </conditionalFormatting>
  <conditionalFormatting sqref="AX23:BO23">
    <cfRule type="expression" dxfId="43" priority="12">
      <formula>$BA27=12</formula>
    </cfRule>
  </conditionalFormatting>
  <conditionalFormatting sqref="AX24:BO24">
    <cfRule type="expression" dxfId="42" priority="11">
      <formula>$BA27=12</formula>
    </cfRule>
  </conditionalFormatting>
  <conditionalFormatting sqref="AX31:BO31">
    <cfRule type="expression" dxfId="41" priority="10">
      <formula>$BA35=12</formula>
    </cfRule>
  </conditionalFormatting>
  <conditionalFormatting sqref="AX32:BO32">
    <cfRule type="expression" dxfId="40" priority="9">
      <formula>$BA35=12</formula>
    </cfRule>
  </conditionalFormatting>
  <conditionalFormatting sqref="AX39:BO39">
    <cfRule type="expression" dxfId="39" priority="8">
      <formula>$BA43=12</formula>
    </cfRule>
  </conditionalFormatting>
  <conditionalFormatting sqref="AX40:BO40">
    <cfRule type="expression" dxfId="38" priority="7">
      <formula>$BA43=12</formula>
    </cfRule>
  </conditionalFormatting>
  <conditionalFormatting sqref="AX47:BO47">
    <cfRule type="expression" dxfId="37" priority="6">
      <formula>$BA51=12</formula>
    </cfRule>
  </conditionalFormatting>
  <conditionalFormatting sqref="AX48:BO48">
    <cfRule type="expression" dxfId="36" priority="5">
      <formula>$BA51=12</formula>
    </cfRule>
  </conditionalFormatting>
  <conditionalFormatting sqref="AX55:BO55">
    <cfRule type="expression" dxfId="35" priority="4">
      <formula>$BA59=12</formula>
    </cfRule>
  </conditionalFormatting>
  <conditionalFormatting sqref="AX56:BO56">
    <cfRule type="expression" dxfId="34" priority="3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75" t="s">
        <v>78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73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54</v>
      </c>
      <c r="C5" s="35"/>
      <c r="D5" s="58" t="s">
        <v>55</v>
      </c>
      <c r="E5" s="58"/>
      <c r="F5" s="58"/>
      <c r="G5" s="36"/>
      <c r="H5" s="57" t="s">
        <v>56</v>
      </c>
      <c r="I5" s="56"/>
      <c r="J5" s="56"/>
      <c r="K5" s="57" t="s">
        <v>57</v>
      </c>
      <c r="L5" s="56"/>
      <c r="M5" s="56"/>
      <c r="N5" s="57" t="s">
        <v>58</v>
      </c>
      <c r="O5" s="56"/>
      <c r="P5" s="56"/>
      <c r="Q5" s="57" t="s">
        <v>59</v>
      </c>
      <c r="R5" s="56"/>
      <c r="S5" s="56"/>
      <c r="T5" s="57" t="s">
        <v>60</v>
      </c>
      <c r="U5" s="56"/>
      <c r="V5" s="56"/>
      <c r="W5" s="56" t="s">
        <v>1</v>
      </c>
      <c r="X5" s="56"/>
      <c r="Y5" s="56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45923</v>
      </c>
      <c r="C6" s="24" t="str">
        <f>IF(Preliminary!BA7&lt;3,"Winner of Pool A",Preliminary!AY7)</f>
        <v>Tunisia</v>
      </c>
      <c r="D6" s="48">
        <v>0</v>
      </c>
      <c r="E6" s="49" t="s">
        <v>0</v>
      </c>
      <c r="F6" s="47">
        <v>3</v>
      </c>
      <c r="G6" s="25" t="str">
        <f>IF(Preliminary!BA64&lt;3,"Runners-up of Pool H",Preliminary!AY64)</f>
        <v>Czech Republic</v>
      </c>
      <c r="H6" s="28">
        <v>19</v>
      </c>
      <c r="I6" s="29" t="s">
        <v>0</v>
      </c>
      <c r="J6" s="30">
        <v>25</v>
      </c>
      <c r="K6" s="28">
        <v>18</v>
      </c>
      <c r="L6" s="29" t="s">
        <v>0</v>
      </c>
      <c r="M6" s="30">
        <v>25</v>
      </c>
      <c r="N6" s="28">
        <v>23</v>
      </c>
      <c r="O6" s="29" t="s">
        <v>0</v>
      </c>
      <c r="P6" s="30">
        <v>25</v>
      </c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60</v>
      </c>
      <c r="X6" s="29" t="s">
        <v>0</v>
      </c>
      <c r="Y6" s="32">
        <f t="shared" ref="Y6:Y13" si="1">SUM(J6,M6,P6,S6,V6)</f>
        <v>75</v>
      </c>
      <c r="AA6" s="12">
        <f>AD6+AE6</f>
        <v>3</v>
      </c>
      <c r="AB6" s="12" t="str">
        <f>IF(OR(D6="",F6=""),0,IF(D6&gt;F6,C6,G6))</f>
        <v>Czech Republic</v>
      </c>
      <c r="AC6" s="12">
        <f>IF(OR(D6="",F6=""),0,1)</f>
        <v>1</v>
      </c>
      <c r="AD6" s="12">
        <f>IF(OR(D6="",F6=""),0,IF(D6&gt;F6,D6,F6))</f>
        <v>3</v>
      </c>
      <c r="AE6" s="12">
        <f>IF(OR(D6="",F6=""),0,IF(D6&gt;F6,F6,D6))</f>
        <v>0</v>
      </c>
      <c r="AF6" s="12">
        <f>IF(AND(AD6=3,AE6=0),1,0)</f>
        <v>1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75</v>
      </c>
      <c r="AJ6" s="12">
        <f>IF(D6&gt;F6,SUM(J6,M6,P6,S6,V6),SUM(H6,K6,N6,Q6,T6))</f>
        <v>60</v>
      </c>
      <c r="AL6" s="12" t="str">
        <f>IF(OR(D6="",F6=""),0,IF(D6&lt;F6,C6,G6))</f>
        <v>Tunisia</v>
      </c>
      <c r="AM6" s="12">
        <f>IF(OR(D6="",F6=""),0,1)</f>
        <v>1</v>
      </c>
      <c r="AN6" s="12">
        <f>IF(OR(D6="",F6=""),0,IF(D6&lt;F6,D6,F6))</f>
        <v>0</v>
      </c>
      <c r="AO6" s="12">
        <f>IF(OR(D6="",F6=""),0,IF(D6&lt;F6,F6,D6))</f>
        <v>3</v>
      </c>
      <c r="AP6" s="12">
        <f>IF(AND(AN6=2,AO6=3),1,0)</f>
        <v>0</v>
      </c>
      <c r="AQ6" s="12">
        <f>IF(AND(AN6=1,AO6=3),1,0)</f>
        <v>0</v>
      </c>
      <c r="AR6" s="12">
        <f>IF(AND(AN6=0,AO6=3),1,0)</f>
        <v>1</v>
      </c>
      <c r="AS6" s="12">
        <f>IF(D6&lt;F6,SUM(H6,K6,N6,Q6,T6,),SUM(J6,M6,P6,S6,V6))</f>
        <v>60</v>
      </c>
      <c r="AT6" s="12">
        <f>IF(D6&lt;F6,SUM(J6,M6,P6,S6,V6),SUM(H6,K6,N6,Q6,T6))</f>
        <v>75</v>
      </c>
      <c r="AX6" s="14"/>
    </row>
    <row r="7" spans="2:67" x14ac:dyDescent="0.25">
      <c r="B7" s="23">
        <v>45923</v>
      </c>
      <c r="C7" s="24" t="str">
        <f>IF(Preliminary!BA63&lt;3,"Winner of Pool H",Preliminary!AY63)</f>
        <v>Serbia</v>
      </c>
      <c r="D7" s="48">
        <v>2</v>
      </c>
      <c r="E7" s="49" t="s">
        <v>0</v>
      </c>
      <c r="F7" s="47">
        <v>3</v>
      </c>
      <c r="G7" s="25" t="str">
        <f>IF(Preliminary!BA8&lt;3,"Runners-up of Pool A",Preliminary!AY8)</f>
        <v>Iran</v>
      </c>
      <c r="H7" s="28">
        <v>25</v>
      </c>
      <c r="I7" s="29" t="s">
        <v>0</v>
      </c>
      <c r="J7" s="30">
        <v>23</v>
      </c>
      <c r="K7" s="28">
        <v>19</v>
      </c>
      <c r="L7" s="29" t="s">
        <v>0</v>
      </c>
      <c r="M7" s="30">
        <v>25</v>
      </c>
      <c r="N7" s="28">
        <v>26</v>
      </c>
      <c r="O7" s="29" t="s">
        <v>0</v>
      </c>
      <c r="P7" s="30">
        <v>24</v>
      </c>
      <c r="Q7" s="28">
        <v>22</v>
      </c>
      <c r="R7" s="29" t="s">
        <v>0</v>
      </c>
      <c r="S7" s="30">
        <v>25</v>
      </c>
      <c r="T7" s="28">
        <v>9</v>
      </c>
      <c r="U7" s="29" t="s">
        <v>0</v>
      </c>
      <c r="V7" s="30">
        <v>15</v>
      </c>
      <c r="W7" s="31">
        <f t="shared" si="0"/>
        <v>101</v>
      </c>
      <c r="X7" s="29" t="s">
        <v>0</v>
      </c>
      <c r="Y7" s="32">
        <f t="shared" si="1"/>
        <v>112</v>
      </c>
      <c r="AA7" s="12">
        <f t="shared" ref="AA7:AA13" si="2">AD7+AE7</f>
        <v>5</v>
      </c>
      <c r="AB7" s="12" t="str">
        <f t="shared" ref="AB7:AB13" si="3">IF(OR(D7="",F7=""),0,IF(D7&gt;F7,C7,G7))</f>
        <v>Iran</v>
      </c>
      <c r="AC7" s="12">
        <f t="shared" ref="AC7:AC13" si="4">IF(OR(D7="",F7=""),0,1)</f>
        <v>1</v>
      </c>
      <c r="AD7" s="12">
        <f t="shared" ref="AD7:AD13" si="5">IF(OR(D7="",F7=""),0,IF(D7&gt;F7,D7,F7))</f>
        <v>3</v>
      </c>
      <c r="AE7" s="12">
        <f t="shared" ref="AE7:AE13" si="6">IF(OR(D7="",F7=""),0,IF(D7&gt;F7,F7,D7))</f>
        <v>2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1</v>
      </c>
      <c r="AI7" s="12">
        <f t="shared" ref="AI7:AI13" si="10">IF(D7&gt;F7,SUM(H7,K7,N7,Q7,T7,),SUM(J7,M7,P7,S7,V7))</f>
        <v>112</v>
      </c>
      <c r="AJ7" s="12">
        <f t="shared" ref="AJ7:AJ13" si="11">IF(D7&gt;F7,SUM(J7,M7,P7,S7,V7),SUM(H7,K7,N7,Q7,T7))</f>
        <v>101</v>
      </c>
      <c r="AL7" s="12" t="str">
        <f t="shared" ref="AL7:AL13" si="12">IF(OR(D7="",F7=""),0,IF(D7&lt;F7,C7,G7))</f>
        <v>Serbia</v>
      </c>
      <c r="AM7" s="12">
        <f t="shared" ref="AM7:AM13" si="13">IF(OR(D7="",F7=""),0,1)</f>
        <v>1</v>
      </c>
      <c r="AN7" s="12">
        <f t="shared" ref="AN7:AN13" si="14">IF(OR(D7="",F7=""),0,IF(D7&lt;F7,D7,F7))</f>
        <v>2</v>
      </c>
      <c r="AO7" s="12">
        <f t="shared" ref="AO7:AO13" si="15">IF(OR(D7="",F7=""),0,IF(D7&lt;F7,F7,D7))</f>
        <v>3</v>
      </c>
      <c r="AP7" s="12">
        <f t="shared" ref="AP7:AP13" si="16">IF(AND(AN7=2,AO7=3),1,0)</f>
        <v>1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101</v>
      </c>
      <c r="AT7" s="12">
        <f t="shared" ref="AT7:AT13" si="20">IF(D7&lt;F7,SUM(J7,M7,P7,S7,V7),SUM(H7,K7,N7,Q7,T7))</f>
        <v>112</v>
      </c>
    </row>
    <row r="8" spans="2:67" x14ac:dyDescent="0.25">
      <c r="B8" s="23">
        <v>45920</v>
      </c>
      <c r="C8" s="24" t="str">
        <f>IF(Preliminary!BA15&lt;3,"Winner of Pool B",Preliminary!AY15)</f>
        <v>Poland</v>
      </c>
      <c r="D8" s="48">
        <v>3</v>
      </c>
      <c r="E8" s="49" t="s">
        <v>0</v>
      </c>
      <c r="F8" s="47">
        <v>1</v>
      </c>
      <c r="G8" s="25" t="str">
        <f>IF(Preliminary!BA56&lt;3,"Runners-up of Pool G",Preliminary!AY56)</f>
        <v>Canada</v>
      </c>
      <c r="H8" s="28">
        <v>25</v>
      </c>
      <c r="I8" s="29" t="s">
        <v>0</v>
      </c>
      <c r="J8" s="30">
        <v>18</v>
      </c>
      <c r="K8" s="28">
        <v>23</v>
      </c>
      <c r="L8" s="29" t="s">
        <v>0</v>
      </c>
      <c r="M8" s="30">
        <v>25</v>
      </c>
      <c r="N8" s="28">
        <v>25</v>
      </c>
      <c r="O8" s="29" t="s">
        <v>0</v>
      </c>
      <c r="P8" s="30">
        <v>20</v>
      </c>
      <c r="Q8" s="28">
        <v>25</v>
      </c>
      <c r="R8" s="29" t="s">
        <v>0</v>
      </c>
      <c r="S8" s="30">
        <v>14</v>
      </c>
      <c r="T8" s="28"/>
      <c r="U8" s="29" t="s">
        <v>0</v>
      </c>
      <c r="V8" s="30"/>
      <c r="W8" s="31">
        <f t="shared" si="0"/>
        <v>98</v>
      </c>
      <c r="X8" s="29" t="s">
        <v>0</v>
      </c>
      <c r="Y8" s="32">
        <f t="shared" si="1"/>
        <v>77</v>
      </c>
      <c r="AA8" s="12">
        <f t="shared" si="2"/>
        <v>4</v>
      </c>
      <c r="AB8" s="12" t="str">
        <f t="shared" si="3"/>
        <v>Poland</v>
      </c>
      <c r="AC8" s="12">
        <f t="shared" si="4"/>
        <v>1</v>
      </c>
      <c r="AD8" s="12">
        <f t="shared" si="5"/>
        <v>3</v>
      </c>
      <c r="AE8" s="12">
        <f t="shared" si="6"/>
        <v>1</v>
      </c>
      <c r="AF8" s="12">
        <f t="shared" si="7"/>
        <v>0</v>
      </c>
      <c r="AG8" s="12">
        <f t="shared" si="8"/>
        <v>1</v>
      </c>
      <c r="AH8" s="12">
        <f t="shared" si="9"/>
        <v>0</v>
      </c>
      <c r="AI8" s="12">
        <f t="shared" si="10"/>
        <v>98</v>
      </c>
      <c r="AJ8" s="12">
        <f t="shared" si="11"/>
        <v>77</v>
      </c>
      <c r="AL8" s="12" t="str">
        <f t="shared" si="12"/>
        <v>Canada</v>
      </c>
      <c r="AM8" s="12">
        <f t="shared" si="13"/>
        <v>1</v>
      </c>
      <c r="AN8" s="12">
        <f t="shared" si="14"/>
        <v>1</v>
      </c>
      <c r="AO8" s="12">
        <f t="shared" si="15"/>
        <v>3</v>
      </c>
      <c r="AP8" s="12">
        <f t="shared" si="16"/>
        <v>0</v>
      </c>
      <c r="AQ8" s="12">
        <f t="shared" si="17"/>
        <v>1</v>
      </c>
      <c r="AR8" s="12">
        <f t="shared" si="18"/>
        <v>0</v>
      </c>
      <c r="AS8" s="12">
        <f t="shared" si="19"/>
        <v>77</v>
      </c>
      <c r="AT8" s="12">
        <f t="shared" si="20"/>
        <v>98</v>
      </c>
    </row>
    <row r="9" spans="2:67" x14ac:dyDescent="0.25">
      <c r="B9" s="23">
        <v>45920</v>
      </c>
      <c r="C9" s="24" t="str">
        <f>IF(Preliminary!BA55&lt;3,"Winner of Pool G",Preliminary!AY55)</f>
        <v>Turkey</v>
      </c>
      <c r="D9" s="48">
        <v>3</v>
      </c>
      <c r="E9" s="49" t="s">
        <v>0</v>
      </c>
      <c r="F9" s="47">
        <v>1</v>
      </c>
      <c r="G9" s="25" t="str">
        <f>IF(Preliminary!BA16&lt;3,"Runners-up of Pool B",Preliminary!AY16)</f>
        <v>Netherlands</v>
      </c>
      <c r="H9" s="28">
        <v>27</v>
      </c>
      <c r="I9" s="29" t="s">
        <v>0</v>
      </c>
      <c r="J9" s="30">
        <v>29</v>
      </c>
      <c r="K9" s="28">
        <v>25</v>
      </c>
      <c r="L9" s="29" t="s">
        <v>0</v>
      </c>
      <c r="M9" s="30">
        <v>23</v>
      </c>
      <c r="N9" s="28">
        <v>25</v>
      </c>
      <c r="O9" s="29" t="s">
        <v>0</v>
      </c>
      <c r="P9" s="30">
        <v>16</v>
      </c>
      <c r="Q9" s="28">
        <v>25</v>
      </c>
      <c r="R9" s="29" t="s">
        <v>0</v>
      </c>
      <c r="S9" s="30">
        <v>19</v>
      </c>
      <c r="T9" s="28"/>
      <c r="U9" s="29" t="s">
        <v>0</v>
      </c>
      <c r="V9" s="30"/>
      <c r="W9" s="31">
        <f t="shared" si="0"/>
        <v>102</v>
      </c>
      <c r="X9" s="29" t="s">
        <v>0</v>
      </c>
      <c r="Y9" s="32">
        <f t="shared" si="1"/>
        <v>87</v>
      </c>
      <c r="AA9" s="12">
        <f t="shared" si="2"/>
        <v>4</v>
      </c>
      <c r="AB9" s="12" t="str">
        <f t="shared" si="3"/>
        <v>Turkey</v>
      </c>
      <c r="AC9" s="12">
        <f t="shared" si="4"/>
        <v>1</v>
      </c>
      <c r="AD9" s="12">
        <f t="shared" si="5"/>
        <v>3</v>
      </c>
      <c r="AE9" s="12">
        <f t="shared" si="6"/>
        <v>1</v>
      </c>
      <c r="AF9" s="12">
        <f t="shared" si="7"/>
        <v>0</v>
      </c>
      <c r="AG9" s="12">
        <f t="shared" si="8"/>
        <v>1</v>
      </c>
      <c r="AH9" s="12">
        <f t="shared" si="9"/>
        <v>0</v>
      </c>
      <c r="AI9" s="12">
        <f t="shared" si="10"/>
        <v>102</v>
      </c>
      <c r="AJ9" s="12">
        <f t="shared" si="11"/>
        <v>87</v>
      </c>
      <c r="AL9" s="12" t="str">
        <f t="shared" si="12"/>
        <v>Netherlands</v>
      </c>
      <c r="AM9" s="12">
        <f t="shared" si="13"/>
        <v>1</v>
      </c>
      <c r="AN9" s="12">
        <f t="shared" si="14"/>
        <v>1</v>
      </c>
      <c r="AO9" s="12">
        <f t="shared" si="15"/>
        <v>3</v>
      </c>
      <c r="AP9" s="12">
        <f t="shared" si="16"/>
        <v>0</v>
      </c>
      <c r="AQ9" s="12">
        <f t="shared" si="17"/>
        <v>1</v>
      </c>
      <c r="AR9" s="12">
        <f t="shared" si="18"/>
        <v>0</v>
      </c>
      <c r="AS9" s="12">
        <f t="shared" si="19"/>
        <v>87</v>
      </c>
      <c r="AT9" s="12">
        <f t="shared" si="20"/>
        <v>102</v>
      </c>
    </row>
    <row r="10" spans="2:67" x14ac:dyDescent="0.25">
      <c r="B10" s="23">
        <v>45921</v>
      </c>
      <c r="C10" s="24" t="str">
        <f>IF(Preliminary!BA23&lt;3,"Winner of Pool C",Preliminary!AY23)</f>
        <v>Argentina</v>
      </c>
      <c r="D10" s="48">
        <v>0</v>
      </c>
      <c r="E10" s="49" t="s">
        <v>0</v>
      </c>
      <c r="F10" s="47">
        <v>3</v>
      </c>
      <c r="G10" s="25" t="str">
        <f>IF(Preliminary!BA48&lt;3,"Runners-up of Pool F",Preliminary!AY48)</f>
        <v>Italy</v>
      </c>
      <c r="H10" s="28">
        <v>23</v>
      </c>
      <c r="I10" s="29" t="s">
        <v>0</v>
      </c>
      <c r="J10" s="30">
        <v>25</v>
      </c>
      <c r="K10" s="28">
        <v>20</v>
      </c>
      <c r="L10" s="29" t="s">
        <v>0</v>
      </c>
      <c r="M10" s="30">
        <v>25</v>
      </c>
      <c r="N10" s="28">
        <v>22</v>
      </c>
      <c r="O10" s="29" t="s">
        <v>0</v>
      </c>
      <c r="P10" s="30">
        <v>25</v>
      </c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65</v>
      </c>
      <c r="X10" s="29" t="s">
        <v>0</v>
      </c>
      <c r="Y10" s="32">
        <f t="shared" si="1"/>
        <v>75</v>
      </c>
      <c r="AA10" s="12">
        <f t="shared" si="2"/>
        <v>3</v>
      </c>
      <c r="AB10" s="12" t="str">
        <f t="shared" si="3"/>
        <v>Italy</v>
      </c>
      <c r="AC10" s="12">
        <f t="shared" si="4"/>
        <v>1</v>
      </c>
      <c r="AD10" s="12">
        <f t="shared" si="5"/>
        <v>3</v>
      </c>
      <c r="AE10" s="12">
        <f t="shared" si="6"/>
        <v>0</v>
      </c>
      <c r="AF10" s="12">
        <f t="shared" si="7"/>
        <v>1</v>
      </c>
      <c r="AG10" s="12">
        <f t="shared" si="8"/>
        <v>0</v>
      </c>
      <c r="AH10" s="12">
        <f t="shared" si="9"/>
        <v>0</v>
      </c>
      <c r="AI10" s="12">
        <f t="shared" si="10"/>
        <v>75</v>
      </c>
      <c r="AJ10" s="12">
        <f t="shared" si="11"/>
        <v>65</v>
      </c>
      <c r="AL10" s="12" t="str">
        <f t="shared" si="12"/>
        <v>Argentina</v>
      </c>
      <c r="AM10" s="12">
        <f t="shared" si="13"/>
        <v>1</v>
      </c>
      <c r="AN10" s="12">
        <f t="shared" si="14"/>
        <v>0</v>
      </c>
      <c r="AO10" s="12">
        <f t="shared" si="15"/>
        <v>3</v>
      </c>
      <c r="AP10" s="12">
        <f t="shared" si="16"/>
        <v>0</v>
      </c>
      <c r="AQ10" s="12">
        <f t="shared" si="17"/>
        <v>0</v>
      </c>
      <c r="AR10" s="12">
        <f t="shared" si="18"/>
        <v>1</v>
      </c>
      <c r="AS10" s="12">
        <f t="shared" si="19"/>
        <v>65</v>
      </c>
      <c r="AT10" s="12">
        <f t="shared" si="20"/>
        <v>75</v>
      </c>
    </row>
    <row r="11" spans="2:67" ht="12.75" customHeight="1" x14ac:dyDescent="0.25">
      <c r="B11" s="23">
        <v>45921</v>
      </c>
      <c r="C11" s="24" t="str">
        <f>IF(Preliminary!BA47&lt;3,"Winner of Pool F",Preliminary!AY47)</f>
        <v>Belgium</v>
      </c>
      <c r="D11" s="48">
        <v>3</v>
      </c>
      <c r="E11" s="49" t="s">
        <v>0</v>
      </c>
      <c r="F11" s="47">
        <v>0</v>
      </c>
      <c r="G11" s="25" t="str">
        <f>IF(Preliminary!BA24&lt;3,"Runners-up of Pool C",Preliminary!AY24)</f>
        <v>Finland</v>
      </c>
      <c r="H11" s="28">
        <v>25</v>
      </c>
      <c r="I11" s="29" t="s">
        <v>0</v>
      </c>
      <c r="J11" s="30">
        <v>21</v>
      </c>
      <c r="K11" s="28">
        <v>25</v>
      </c>
      <c r="L11" s="29" t="s">
        <v>0</v>
      </c>
      <c r="M11" s="30">
        <v>17</v>
      </c>
      <c r="N11" s="28">
        <v>25</v>
      </c>
      <c r="O11" s="29" t="s">
        <v>0</v>
      </c>
      <c r="P11" s="30">
        <v>21</v>
      </c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75</v>
      </c>
      <c r="X11" s="29" t="s">
        <v>0</v>
      </c>
      <c r="Y11" s="32">
        <f t="shared" si="1"/>
        <v>59</v>
      </c>
      <c r="AA11" s="12">
        <f t="shared" si="2"/>
        <v>3</v>
      </c>
      <c r="AB11" s="12" t="str">
        <f t="shared" si="3"/>
        <v>Belgium</v>
      </c>
      <c r="AC11" s="12">
        <f t="shared" si="4"/>
        <v>1</v>
      </c>
      <c r="AD11" s="12">
        <f t="shared" si="5"/>
        <v>3</v>
      </c>
      <c r="AE11" s="12">
        <f t="shared" si="6"/>
        <v>0</v>
      </c>
      <c r="AF11" s="12">
        <f t="shared" si="7"/>
        <v>1</v>
      </c>
      <c r="AG11" s="12">
        <f t="shared" si="8"/>
        <v>0</v>
      </c>
      <c r="AH11" s="12">
        <f t="shared" si="9"/>
        <v>0</v>
      </c>
      <c r="AI11" s="12">
        <f t="shared" si="10"/>
        <v>75</v>
      </c>
      <c r="AJ11" s="12">
        <f t="shared" si="11"/>
        <v>59</v>
      </c>
      <c r="AL11" s="12" t="str">
        <f t="shared" si="12"/>
        <v>Finland</v>
      </c>
      <c r="AM11" s="12">
        <f t="shared" si="13"/>
        <v>1</v>
      </c>
      <c r="AN11" s="12">
        <f t="shared" si="14"/>
        <v>0</v>
      </c>
      <c r="AO11" s="12">
        <f t="shared" si="15"/>
        <v>3</v>
      </c>
      <c r="AP11" s="12">
        <f t="shared" si="16"/>
        <v>0</v>
      </c>
      <c r="AQ11" s="12">
        <f t="shared" si="17"/>
        <v>0</v>
      </c>
      <c r="AR11" s="12">
        <f t="shared" si="18"/>
        <v>1</v>
      </c>
      <c r="AS11" s="12">
        <f t="shared" si="19"/>
        <v>59</v>
      </c>
      <c r="AT11" s="12">
        <f t="shared" si="20"/>
        <v>75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45922</v>
      </c>
      <c r="C12" s="24" t="str">
        <f>IF(Preliminary!BA31&lt;3,"Winner of Pool D",Preliminary!AY31)</f>
        <v>United States</v>
      </c>
      <c r="D12" s="48">
        <v>3</v>
      </c>
      <c r="E12" s="49" t="s">
        <v>0</v>
      </c>
      <c r="F12" s="47">
        <v>1</v>
      </c>
      <c r="G12" s="25" t="str">
        <f>IF(Preliminary!BA40&lt;3,"Runners-up of Pool E",Preliminary!AY40)</f>
        <v>Slovenia</v>
      </c>
      <c r="H12" s="28">
        <v>19</v>
      </c>
      <c r="I12" s="29" t="s">
        <v>0</v>
      </c>
      <c r="J12" s="30">
        <v>25</v>
      </c>
      <c r="K12" s="28">
        <v>25</v>
      </c>
      <c r="L12" s="29" t="s">
        <v>0</v>
      </c>
      <c r="M12" s="30">
        <v>22</v>
      </c>
      <c r="N12" s="28">
        <v>25</v>
      </c>
      <c r="O12" s="29" t="s">
        <v>0</v>
      </c>
      <c r="P12" s="30">
        <v>17</v>
      </c>
      <c r="Q12" s="28">
        <v>25</v>
      </c>
      <c r="R12" s="29" t="s">
        <v>0</v>
      </c>
      <c r="S12" s="30">
        <v>20</v>
      </c>
      <c r="T12" s="28"/>
      <c r="U12" s="29" t="s">
        <v>0</v>
      </c>
      <c r="V12" s="30"/>
      <c r="W12" s="31">
        <f t="shared" si="0"/>
        <v>94</v>
      </c>
      <c r="X12" s="29" t="s">
        <v>0</v>
      </c>
      <c r="Y12" s="32">
        <f t="shared" si="1"/>
        <v>84</v>
      </c>
      <c r="AA12" s="12">
        <f t="shared" si="2"/>
        <v>4</v>
      </c>
      <c r="AB12" s="12" t="str">
        <f t="shared" si="3"/>
        <v>United States</v>
      </c>
      <c r="AC12" s="12">
        <f t="shared" si="4"/>
        <v>1</v>
      </c>
      <c r="AD12" s="12">
        <f t="shared" si="5"/>
        <v>3</v>
      </c>
      <c r="AE12" s="12">
        <f t="shared" si="6"/>
        <v>1</v>
      </c>
      <c r="AF12" s="12">
        <f t="shared" si="7"/>
        <v>0</v>
      </c>
      <c r="AG12" s="12">
        <f t="shared" si="8"/>
        <v>1</v>
      </c>
      <c r="AH12" s="12">
        <f t="shared" si="9"/>
        <v>0</v>
      </c>
      <c r="AI12" s="12">
        <f t="shared" si="10"/>
        <v>94</v>
      </c>
      <c r="AJ12" s="12">
        <f t="shared" si="11"/>
        <v>84</v>
      </c>
      <c r="AL12" s="12" t="str">
        <f t="shared" si="12"/>
        <v>Slovenia</v>
      </c>
      <c r="AM12" s="12">
        <f t="shared" si="13"/>
        <v>1</v>
      </c>
      <c r="AN12" s="12">
        <f t="shared" si="14"/>
        <v>1</v>
      </c>
      <c r="AO12" s="12">
        <f t="shared" si="15"/>
        <v>3</v>
      </c>
      <c r="AP12" s="12">
        <f t="shared" si="16"/>
        <v>0</v>
      </c>
      <c r="AQ12" s="12">
        <f t="shared" si="17"/>
        <v>1</v>
      </c>
      <c r="AR12" s="12">
        <f t="shared" si="18"/>
        <v>0</v>
      </c>
      <c r="AS12" s="12">
        <f t="shared" si="19"/>
        <v>84</v>
      </c>
      <c r="AT12" s="12">
        <f t="shared" si="20"/>
        <v>94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45922</v>
      </c>
      <c r="C13" s="24" t="str">
        <f>IF(Preliminary!BA39&lt;3,"Winner of Pool E",Preliminary!AY39)</f>
        <v>Bulgaria</v>
      </c>
      <c r="D13" s="48">
        <v>3</v>
      </c>
      <c r="E13" s="49" t="s">
        <v>0</v>
      </c>
      <c r="F13" s="47">
        <v>0</v>
      </c>
      <c r="G13" s="25" t="str">
        <f>IF(Preliminary!BA32&lt;3,"Runners-up of Pool D",Preliminary!AY32)</f>
        <v>Portugal</v>
      </c>
      <c r="H13" s="28">
        <v>25</v>
      </c>
      <c r="I13" s="29" t="s">
        <v>0</v>
      </c>
      <c r="J13" s="30">
        <v>19</v>
      </c>
      <c r="K13" s="28">
        <v>25</v>
      </c>
      <c r="L13" s="29" t="s">
        <v>0</v>
      </c>
      <c r="M13" s="30">
        <v>23</v>
      </c>
      <c r="N13" s="28">
        <v>25</v>
      </c>
      <c r="O13" s="29" t="s">
        <v>0</v>
      </c>
      <c r="P13" s="30">
        <v>13</v>
      </c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75</v>
      </c>
      <c r="X13" s="29" t="s">
        <v>0</v>
      </c>
      <c r="Y13" s="32">
        <f t="shared" si="1"/>
        <v>55</v>
      </c>
      <c r="AA13" s="12">
        <f t="shared" si="2"/>
        <v>3</v>
      </c>
      <c r="AB13" s="12" t="str">
        <f t="shared" si="3"/>
        <v>Bulgaria</v>
      </c>
      <c r="AC13" s="12">
        <f t="shared" si="4"/>
        <v>1</v>
      </c>
      <c r="AD13" s="12">
        <f t="shared" si="5"/>
        <v>3</v>
      </c>
      <c r="AE13" s="12">
        <f t="shared" si="6"/>
        <v>0</v>
      </c>
      <c r="AF13" s="12">
        <f t="shared" si="7"/>
        <v>1</v>
      </c>
      <c r="AG13" s="12">
        <f t="shared" si="8"/>
        <v>0</v>
      </c>
      <c r="AH13" s="12">
        <f t="shared" si="9"/>
        <v>0</v>
      </c>
      <c r="AI13" s="12">
        <f t="shared" si="10"/>
        <v>75</v>
      </c>
      <c r="AJ13" s="12">
        <f t="shared" si="11"/>
        <v>55</v>
      </c>
      <c r="AL13" s="12" t="str">
        <f t="shared" si="12"/>
        <v>Portugal</v>
      </c>
      <c r="AM13" s="12">
        <f t="shared" si="13"/>
        <v>1</v>
      </c>
      <c r="AN13" s="12">
        <f t="shared" si="14"/>
        <v>0</v>
      </c>
      <c r="AO13" s="12">
        <f t="shared" si="15"/>
        <v>3</v>
      </c>
      <c r="AP13" s="12">
        <f t="shared" si="16"/>
        <v>0</v>
      </c>
      <c r="AQ13" s="12">
        <f t="shared" si="17"/>
        <v>0</v>
      </c>
      <c r="AR13" s="12">
        <f t="shared" si="18"/>
        <v>1</v>
      </c>
      <c r="AS13" s="12">
        <f t="shared" si="19"/>
        <v>55</v>
      </c>
      <c r="AT13" s="12">
        <f t="shared" si="20"/>
        <v>75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74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2" t="s">
        <v>71</v>
      </c>
      <c r="AV15" s="62"/>
    </row>
    <row r="16" spans="2:67" ht="12.75" customHeight="1" x14ac:dyDescent="0.25">
      <c r="B16" s="34" t="s">
        <v>54</v>
      </c>
      <c r="C16" s="35"/>
      <c r="D16" s="58" t="s">
        <v>55</v>
      </c>
      <c r="E16" s="58"/>
      <c r="F16" s="58"/>
      <c r="G16" s="36"/>
      <c r="H16" s="57" t="s">
        <v>56</v>
      </c>
      <c r="I16" s="56"/>
      <c r="J16" s="56"/>
      <c r="K16" s="57" t="s">
        <v>57</v>
      </c>
      <c r="L16" s="56"/>
      <c r="M16" s="56"/>
      <c r="N16" s="57" t="s">
        <v>58</v>
      </c>
      <c r="O16" s="56"/>
      <c r="P16" s="56"/>
      <c r="Q16" s="57" t="s">
        <v>59</v>
      </c>
      <c r="R16" s="56"/>
      <c r="S16" s="56"/>
      <c r="T16" s="57" t="s">
        <v>60</v>
      </c>
      <c r="U16" s="56"/>
      <c r="V16" s="56"/>
      <c r="W16" s="56" t="s">
        <v>1</v>
      </c>
      <c r="X16" s="56"/>
      <c r="Y16" s="56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3" t="s">
        <v>41</v>
      </c>
      <c r="AV16" s="64"/>
    </row>
    <row r="17" spans="2:64" ht="12.75" customHeight="1" x14ac:dyDescent="0.25">
      <c r="B17" s="23">
        <v>45925</v>
      </c>
      <c r="C17" s="24" t="str">
        <f>IF(AB6=0,"Winner R1",AB6)</f>
        <v>Czech Republic</v>
      </c>
      <c r="D17" s="48">
        <v>3</v>
      </c>
      <c r="E17" s="49" t="s">
        <v>0</v>
      </c>
      <c r="F17" s="47">
        <v>1</v>
      </c>
      <c r="G17" s="25" t="str">
        <f>IF(AB7=0,"Winner R2",AB7)</f>
        <v>Iran</v>
      </c>
      <c r="H17" s="28">
        <v>22</v>
      </c>
      <c r="I17" s="29" t="s">
        <v>0</v>
      </c>
      <c r="J17" s="30">
        <v>25</v>
      </c>
      <c r="K17" s="28">
        <v>27</v>
      </c>
      <c r="L17" s="29" t="s">
        <v>0</v>
      </c>
      <c r="M17" s="30">
        <v>25</v>
      </c>
      <c r="N17" s="28">
        <v>25</v>
      </c>
      <c r="O17" s="29" t="s">
        <v>0</v>
      </c>
      <c r="P17" s="30">
        <v>20</v>
      </c>
      <c r="Q17" s="28">
        <v>25</v>
      </c>
      <c r="R17" s="29" t="s">
        <v>0</v>
      </c>
      <c r="S17" s="30">
        <v>21</v>
      </c>
      <c r="T17" s="28"/>
      <c r="U17" s="29" t="s">
        <v>0</v>
      </c>
      <c r="V17" s="30"/>
      <c r="W17" s="31">
        <f>SUM(H17,K17,N17,Q17,T17)</f>
        <v>99</v>
      </c>
      <c r="X17" s="29" t="s">
        <v>0</v>
      </c>
      <c r="Y17" s="32">
        <f>SUM(J17,M17,P17,S17,V17)</f>
        <v>91</v>
      </c>
      <c r="AA17" s="12">
        <f>AD17+AE17</f>
        <v>4</v>
      </c>
      <c r="AB17" s="12" t="str">
        <f>IF(OR(D17="",F17=""),0,IF(D17&gt;F17,C17,G17))</f>
        <v>Czech Republic</v>
      </c>
      <c r="AC17" s="12">
        <f>IF(OR(D17="",F17=""),0,1)</f>
        <v>1</v>
      </c>
      <c r="AD17" s="12">
        <f>IF(OR(D17="",F17=""),0,IF(D17&gt;F17,D17,F17))</f>
        <v>3</v>
      </c>
      <c r="AE17" s="12">
        <f>IF(OR(D17="",F17=""),0,IF(D17&gt;F17,F17,D17))</f>
        <v>1</v>
      </c>
      <c r="AF17" s="12">
        <f>IF(AND(AD17=3,AE17=0),1,0)</f>
        <v>0</v>
      </c>
      <c r="AG17" s="12">
        <f>IF(AND(AD17=3,AE17=1),1,0)</f>
        <v>1</v>
      </c>
      <c r="AH17" s="12">
        <f>IF(AND(AD17=3,AE17=2),1,0)</f>
        <v>0</v>
      </c>
      <c r="AI17" s="12">
        <f>IF(D17&gt;F17,SUM(H17,K17,N17,Q17,T17,),SUM(J17,M17,P17,S17,V17))</f>
        <v>99</v>
      </c>
      <c r="AJ17" s="12">
        <f>IF(D17&gt;F17,SUM(J17,M17,P17,S17,V17),SUM(H17,K17,N17,Q17,T17))</f>
        <v>91</v>
      </c>
      <c r="AL17" s="12" t="str">
        <f>IF(OR(D17="",F17=""),0,IF(D17&lt;F17,C17,G17))</f>
        <v>Iran</v>
      </c>
      <c r="AM17" s="12">
        <f>IF(OR(D17="",F17=""),0,1)</f>
        <v>1</v>
      </c>
      <c r="AN17" s="12">
        <f>IF(OR(D17="",F17=""),0,IF(D17&lt;F17,D17,F17))</f>
        <v>1</v>
      </c>
      <c r="AO17" s="12">
        <f>IF(OR(D17="",F17=""),0,IF(D17&lt;F17,F17,D17))</f>
        <v>3</v>
      </c>
      <c r="AP17" s="12">
        <f>IF(AND(AN17=2,AO17=3),1,0)</f>
        <v>0</v>
      </c>
      <c r="AQ17" s="12">
        <f>IF(AND(AN17=1,AO17=3),1,0)</f>
        <v>1</v>
      </c>
      <c r="AR17" s="12">
        <f>IF(AND(AN17=0,AO17=3),1,0)</f>
        <v>0</v>
      </c>
      <c r="AS17" s="12">
        <f>IF(D17&lt;F17,SUM(H17,K17,N17,Q17,T17,),SUM(J17,M17,P17,S17,V17))</f>
        <v>91</v>
      </c>
      <c r="AT17" s="12">
        <f>IF(D17&lt;F17,SUM(J17,M17,P17,S17,V17),SUM(H17,K17,N17,Q17,T17))</f>
        <v>99</v>
      </c>
      <c r="AU17" s="65" t="s">
        <v>42</v>
      </c>
      <c r="AV17" s="66"/>
    </row>
    <row r="18" spans="2:64" ht="12.75" customHeight="1" x14ac:dyDescent="0.25">
      <c r="B18" s="23">
        <v>45924</v>
      </c>
      <c r="C18" s="24" t="str">
        <f>IF(AB8=0,"Winner R3",AB8)</f>
        <v>Poland</v>
      </c>
      <c r="D18" s="48">
        <v>3</v>
      </c>
      <c r="E18" s="49" t="s">
        <v>0</v>
      </c>
      <c r="F18" s="47">
        <v>0</v>
      </c>
      <c r="G18" s="25" t="str">
        <f>IF(AB9=0,"Winner R4",AB9)</f>
        <v>Turkey</v>
      </c>
      <c r="H18" s="28">
        <v>25</v>
      </c>
      <c r="I18" s="29" t="s">
        <v>0</v>
      </c>
      <c r="J18" s="30">
        <v>15</v>
      </c>
      <c r="K18" s="28">
        <v>25</v>
      </c>
      <c r="L18" s="29" t="s">
        <v>0</v>
      </c>
      <c r="M18" s="30">
        <v>22</v>
      </c>
      <c r="N18" s="28">
        <v>25</v>
      </c>
      <c r="O18" s="29" t="s">
        <v>0</v>
      </c>
      <c r="P18" s="30">
        <v>19</v>
      </c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75</v>
      </c>
      <c r="X18" s="29" t="s">
        <v>0</v>
      </c>
      <c r="Y18" s="32">
        <f>SUM(J18,M18,P18,S18,V18)</f>
        <v>56</v>
      </c>
      <c r="AA18" s="12">
        <f t="shared" ref="AA18:AA20" si="21">AD18+AE18</f>
        <v>3</v>
      </c>
      <c r="AB18" s="12" t="str">
        <f t="shared" ref="AB18:AB20" si="22">IF(OR(D18="",F18=""),0,IF(D18&gt;F18,C18,G18))</f>
        <v>Poland</v>
      </c>
      <c r="AC18" s="12">
        <f t="shared" ref="AC18:AC20" si="23">IF(OR(D18="",F18=""),0,1)</f>
        <v>1</v>
      </c>
      <c r="AD18" s="12">
        <f t="shared" ref="AD18:AD20" si="24">IF(OR(D18="",F18=""),0,IF(D18&gt;F18,D18,F18))</f>
        <v>3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1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75</v>
      </c>
      <c r="AJ18" s="12">
        <f t="shared" ref="AJ18:AJ20" si="30">IF(D18&gt;F18,SUM(J18,M18,P18,S18,V18),SUM(H18,K18,N18,Q18,T18))</f>
        <v>56</v>
      </c>
      <c r="AL18" s="12" t="str">
        <f t="shared" ref="AL18:AL20" si="31">IF(OR(D18="",F18=""),0,IF(D18&lt;F18,C18,G18))</f>
        <v>Turkey</v>
      </c>
      <c r="AM18" s="12">
        <f t="shared" ref="AM18:AM20" si="32">IF(OR(D18="",F18=""),0,1)</f>
        <v>1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3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1</v>
      </c>
      <c r="AS18" s="12">
        <f t="shared" ref="AS18:AS20" si="38">IF(D18&lt;F18,SUM(H18,K18,N18,Q18,T18,),SUM(J18,M18,P18,S18,V18))</f>
        <v>56</v>
      </c>
      <c r="AT18" s="12">
        <f t="shared" ref="AT18:AT20" si="39">IF(D18&lt;F18,SUM(J18,M18,P18,S18,V18),SUM(H18,K18,N18,Q18,T18))</f>
        <v>75</v>
      </c>
      <c r="AU18" s="65" t="s">
        <v>43</v>
      </c>
      <c r="AV18" s="66"/>
    </row>
    <row r="19" spans="2:64" ht="12.75" customHeight="1" x14ac:dyDescent="0.25">
      <c r="B19" s="23">
        <v>45924</v>
      </c>
      <c r="C19" s="24" t="str">
        <f>IF(AB10=0,"Winner R5",AB10)</f>
        <v>Italy</v>
      </c>
      <c r="D19" s="48">
        <v>3</v>
      </c>
      <c r="E19" s="49" t="s">
        <v>0</v>
      </c>
      <c r="F19" s="47">
        <v>0</v>
      </c>
      <c r="G19" s="25" t="str">
        <f>IF(AB11=0,"Winner R6",AB11)</f>
        <v>Belgium</v>
      </c>
      <c r="H19" s="28">
        <v>25</v>
      </c>
      <c r="I19" s="29" t="s">
        <v>0</v>
      </c>
      <c r="J19" s="30">
        <v>13</v>
      </c>
      <c r="K19" s="28">
        <v>25</v>
      </c>
      <c r="L19" s="29" t="s">
        <v>0</v>
      </c>
      <c r="M19" s="30">
        <v>18</v>
      </c>
      <c r="N19" s="28">
        <v>25</v>
      </c>
      <c r="O19" s="29" t="s">
        <v>0</v>
      </c>
      <c r="P19" s="30">
        <v>18</v>
      </c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75</v>
      </c>
      <c r="X19" s="29" t="s">
        <v>0</v>
      </c>
      <c r="Y19" s="32">
        <f>SUM(J19,M19,P19,S19,V19)</f>
        <v>49</v>
      </c>
      <c r="AA19" s="12">
        <f t="shared" si="21"/>
        <v>3</v>
      </c>
      <c r="AB19" s="12" t="str">
        <f t="shared" si="22"/>
        <v>Italy</v>
      </c>
      <c r="AC19" s="12">
        <f t="shared" si="23"/>
        <v>1</v>
      </c>
      <c r="AD19" s="12">
        <f t="shared" si="24"/>
        <v>3</v>
      </c>
      <c r="AE19" s="12">
        <f t="shared" si="25"/>
        <v>0</v>
      </c>
      <c r="AF19" s="12">
        <f t="shared" si="26"/>
        <v>1</v>
      </c>
      <c r="AG19" s="12">
        <f t="shared" si="27"/>
        <v>0</v>
      </c>
      <c r="AH19" s="12">
        <f t="shared" si="28"/>
        <v>0</v>
      </c>
      <c r="AI19" s="12">
        <f t="shared" si="29"/>
        <v>75</v>
      </c>
      <c r="AJ19" s="12">
        <f t="shared" si="30"/>
        <v>49</v>
      </c>
      <c r="AL19" s="12" t="str">
        <f t="shared" si="31"/>
        <v>Belgium</v>
      </c>
      <c r="AM19" s="12">
        <f t="shared" si="32"/>
        <v>1</v>
      </c>
      <c r="AN19" s="12">
        <f t="shared" si="33"/>
        <v>0</v>
      </c>
      <c r="AO19" s="12">
        <f t="shared" si="34"/>
        <v>3</v>
      </c>
      <c r="AP19" s="12">
        <f t="shared" si="35"/>
        <v>0</v>
      </c>
      <c r="AQ19" s="12">
        <f t="shared" si="36"/>
        <v>0</v>
      </c>
      <c r="AR19" s="12">
        <f t="shared" si="37"/>
        <v>1</v>
      </c>
      <c r="AS19" s="12">
        <f t="shared" si="38"/>
        <v>49</v>
      </c>
      <c r="AT19" s="12">
        <f t="shared" si="39"/>
        <v>75</v>
      </c>
      <c r="AU19" s="65" t="s">
        <v>44</v>
      </c>
      <c r="AV19" s="66"/>
    </row>
    <row r="20" spans="2:64" ht="12.75" customHeight="1" x14ac:dyDescent="0.25">
      <c r="B20" s="23">
        <v>45925</v>
      </c>
      <c r="C20" s="24" t="str">
        <f>IF(AB12=0,"Winner R7",AB12)</f>
        <v>United States</v>
      </c>
      <c r="D20" s="48">
        <v>2</v>
      </c>
      <c r="E20" s="49" t="s">
        <v>0</v>
      </c>
      <c r="F20" s="47">
        <v>3</v>
      </c>
      <c r="G20" s="25" t="str">
        <f>IF(AB13=0,"Winner R8",AB13)</f>
        <v>Bulgaria</v>
      </c>
      <c r="H20" s="28">
        <v>25</v>
      </c>
      <c r="I20" s="29" t="s">
        <v>0</v>
      </c>
      <c r="J20" s="30">
        <v>21</v>
      </c>
      <c r="K20" s="28">
        <v>25</v>
      </c>
      <c r="L20" s="29" t="s">
        <v>0</v>
      </c>
      <c r="M20" s="30">
        <v>19</v>
      </c>
      <c r="N20" s="28">
        <v>17</v>
      </c>
      <c r="O20" s="29" t="s">
        <v>0</v>
      </c>
      <c r="P20" s="30">
        <v>25</v>
      </c>
      <c r="Q20" s="28">
        <v>22</v>
      </c>
      <c r="R20" s="29" t="s">
        <v>0</v>
      </c>
      <c r="S20" s="30">
        <v>25</v>
      </c>
      <c r="T20" s="28">
        <v>13</v>
      </c>
      <c r="U20" s="29" t="s">
        <v>0</v>
      </c>
      <c r="V20" s="30">
        <v>15</v>
      </c>
      <c r="W20" s="31">
        <f>SUM(H20,K20,N20,Q20,T20)</f>
        <v>102</v>
      </c>
      <c r="X20" s="29" t="s">
        <v>0</v>
      </c>
      <c r="Y20" s="32">
        <f>SUM(J20,M20,P20,S20,V20)</f>
        <v>105</v>
      </c>
      <c r="AA20" s="12">
        <f t="shared" si="21"/>
        <v>5</v>
      </c>
      <c r="AB20" s="12" t="str">
        <f t="shared" si="22"/>
        <v>Bulgaria</v>
      </c>
      <c r="AC20" s="12">
        <f t="shared" si="23"/>
        <v>1</v>
      </c>
      <c r="AD20" s="12">
        <f t="shared" si="24"/>
        <v>3</v>
      </c>
      <c r="AE20" s="12">
        <f t="shared" si="25"/>
        <v>2</v>
      </c>
      <c r="AF20" s="12">
        <f t="shared" si="26"/>
        <v>0</v>
      </c>
      <c r="AG20" s="12">
        <f t="shared" si="27"/>
        <v>0</v>
      </c>
      <c r="AH20" s="12">
        <f t="shared" si="28"/>
        <v>1</v>
      </c>
      <c r="AI20" s="12">
        <f t="shared" si="29"/>
        <v>105</v>
      </c>
      <c r="AJ20" s="12">
        <f t="shared" si="30"/>
        <v>102</v>
      </c>
      <c r="AL20" s="12" t="str">
        <f t="shared" si="31"/>
        <v>United States</v>
      </c>
      <c r="AM20" s="12">
        <f t="shared" si="32"/>
        <v>1</v>
      </c>
      <c r="AN20" s="12">
        <f t="shared" si="33"/>
        <v>2</v>
      </c>
      <c r="AO20" s="12">
        <f t="shared" si="34"/>
        <v>3</v>
      </c>
      <c r="AP20" s="12">
        <f t="shared" si="35"/>
        <v>1</v>
      </c>
      <c r="AQ20" s="12">
        <f t="shared" si="36"/>
        <v>0</v>
      </c>
      <c r="AR20" s="12">
        <f t="shared" si="37"/>
        <v>0</v>
      </c>
      <c r="AS20" s="12">
        <f t="shared" si="38"/>
        <v>102</v>
      </c>
      <c r="AT20" s="12">
        <f t="shared" si="39"/>
        <v>105</v>
      </c>
      <c r="AU20" s="67" t="s">
        <v>45</v>
      </c>
      <c r="AV20" s="68"/>
    </row>
    <row r="21" spans="2:64" ht="12.75" customHeight="1" x14ac:dyDescent="0.25"/>
    <row r="22" spans="2:64" ht="15" customHeight="1" x14ac:dyDescent="0.25">
      <c r="B22" s="77" t="s">
        <v>75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54</v>
      </c>
      <c r="C23" s="35"/>
      <c r="D23" s="58" t="s">
        <v>55</v>
      </c>
      <c r="E23" s="58"/>
      <c r="F23" s="58"/>
      <c r="G23" s="36"/>
      <c r="H23" s="57" t="s">
        <v>56</v>
      </c>
      <c r="I23" s="56"/>
      <c r="J23" s="56"/>
      <c r="K23" s="57" t="s">
        <v>57</v>
      </c>
      <c r="L23" s="56"/>
      <c r="M23" s="56"/>
      <c r="N23" s="57" t="s">
        <v>58</v>
      </c>
      <c r="O23" s="56"/>
      <c r="P23" s="56"/>
      <c r="Q23" s="57" t="s">
        <v>59</v>
      </c>
      <c r="R23" s="56"/>
      <c r="S23" s="56"/>
      <c r="T23" s="57" t="s">
        <v>60</v>
      </c>
      <c r="U23" s="56"/>
      <c r="V23" s="56"/>
      <c r="W23" s="56" t="s">
        <v>1</v>
      </c>
      <c r="X23" s="56"/>
      <c r="Y23" s="56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45927</v>
      </c>
      <c r="C24" s="24" t="str">
        <f>IF(AB17=0,"Winner Q1",AB17)</f>
        <v>Czech Republic</v>
      </c>
      <c r="D24" s="48">
        <v>1</v>
      </c>
      <c r="E24" s="49" t="s">
        <v>0</v>
      </c>
      <c r="F24" s="47">
        <v>3</v>
      </c>
      <c r="G24" s="25" t="str">
        <f>IF(AB20=0,"Winner Q4",AB20)</f>
        <v>Bulgaria</v>
      </c>
      <c r="H24" s="28">
        <v>20</v>
      </c>
      <c r="I24" s="29" t="s">
        <v>0</v>
      </c>
      <c r="J24" s="30">
        <v>25</v>
      </c>
      <c r="K24" s="28">
        <v>25</v>
      </c>
      <c r="L24" s="29" t="s">
        <v>0</v>
      </c>
      <c r="M24" s="30">
        <v>23</v>
      </c>
      <c r="N24" s="28">
        <v>21</v>
      </c>
      <c r="O24" s="29" t="s">
        <v>0</v>
      </c>
      <c r="P24" s="30">
        <v>25</v>
      </c>
      <c r="Q24" s="28">
        <v>22</v>
      </c>
      <c r="R24" s="29" t="s">
        <v>0</v>
      </c>
      <c r="S24" s="30">
        <v>25</v>
      </c>
      <c r="T24" s="28"/>
      <c r="U24" s="29" t="s">
        <v>0</v>
      </c>
      <c r="V24" s="30"/>
      <c r="W24" s="31">
        <f>SUM(H24,K24,N24,Q24,T24)</f>
        <v>88</v>
      </c>
      <c r="X24" s="29" t="s">
        <v>0</v>
      </c>
      <c r="Y24" s="32">
        <f>SUM(J24,M24,P24,S24,V24)</f>
        <v>98</v>
      </c>
      <c r="AA24" s="12">
        <f>AD24+AE24</f>
        <v>4</v>
      </c>
      <c r="AB24" s="12" t="str">
        <f>IF(OR(D24="",F24=""),0,IF(D24&gt;F24,C24,G24))</f>
        <v>Bulgaria</v>
      </c>
      <c r="AC24" s="12">
        <f>IF(OR(D24="",F24=""),0,1)</f>
        <v>1</v>
      </c>
      <c r="AD24" s="12">
        <f>IF(OR(D24="",F24=""),0,IF(D24&gt;F24,D24,F24))</f>
        <v>3</v>
      </c>
      <c r="AE24" s="12">
        <f>IF(OR(D24="",F24=""),0,IF(D24&gt;F24,F24,D24))</f>
        <v>1</v>
      </c>
      <c r="AF24" s="12">
        <f>IF(AND(AD24=3,AE24=0),1,0)</f>
        <v>0</v>
      </c>
      <c r="AG24" s="12">
        <f>IF(AND(AD24=3,AE24=1),1,0)</f>
        <v>1</v>
      </c>
      <c r="AH24" s="12">
        <f>IF(AND(AD24=3,AE24=2),1,0)</f>
        <v>0</v>
      </c>
      <c r="AI24" s="12">
        <f>IF(D24&gt;F24,SUM(H24,K24,N24,Q24,T24,),SUM(J24,M24,P24,S24,V24))</f>
        <v>98</v>
      </c>
      <c r="AJ24" s="12">
        <f>IF(D24&gt;F24,SUM(J24,M24,P24,S24,V24),SUM(H24,K24,N24,Q24,T24))</f>
        <v>88</v>
      </c>
      <c r="AL24" s="12" t="str">
        <f>IF(OR(D24="",F24=""),0,IF(D24&lt;F24,C24,G24))</f>
        <v>Czech Republic</v>
      </c>
      <c r="AM24" s="12">
        <f>IF(OR(D24="",F24=""),0,1)</f>
        <v>1</v>
      </c>
      <c r="AN24" s="12">
        <f>IF(OR(D24="",F24=""),0,IF(D24&lt;F24,D24,F24))</f>
        <v>1</v>
      </c>
      <c r="AO24" s="12">
        <f>IF(OR(D24="",F24=""),0,IF(D24&lt;F24,F24,D24))</f>
        <v>3</v>
      </c>
      <c r="AP24" s="12">
        <f>IF(AND(AN24=2,AO24=3),1,0)</f>
        <v>0</v>
      </c>
      <c r="AQ24" s="12">
        <f>IF(AND(AN24=1,AO24=3),1,0)</f>
        <v>1</v>
      </c>
      <c r="AR24" s="12">
        <f>IF(AND(AN24=0,AO24=3),1,0)</f>
        <v>0</v>
      </c>
      <c r="AS24" s="12">
        <f>IF(D24&lt;F24,SUM(H24,K24,N24,Q24,T24,),SUM(J24,M24,P24,S24,V24))</f>
        <v>88</v>
      </c>
      <c r="AT24" s="12">
        <f>IF(D24&lt;F24,SUM(J24,M24,P24,S24,V24),SUM(H24,K24,N24,Q24,T24))</f>
        <v>98</v>
      </c>
    </row>
    <row r="25" spans="2:64" ht="12.75" customHeight="1" x14ac:dyDescent="0.25">
      <c r="B25" s="23">
        <v>45927</v>
      </c>
      <c r="C25" s="24" t="str">
        <f>IF(AB18=0,"Winner Q2",AB18)</f>
        <v>Poland</v>
      </c>
      <c r="D25" s="48">
        <v>0</v>
      </c>
      <c r="E25" s="49" t="s">
        <v>0</v>
      </c>
      <c r="F25" s="47">
        <v>3</v>
      </c>
      <c r="G25" s="25" t="str">
        <f>IF(AB19=0,"Winner Q3",AB19)</f>
        <v>Italy</v>
      </c>
      <c r="H25" s="28">
        <v>21</v>
      </c>
      <c r="I25" s="29" t="s">
        <v>0</v>
      </c>
      <c r="J25" s="30">
        <v>25</v>
      </c>
      <c r="K25" s="28">
        <v>22</v>
      </c>
      <c r="L25" s="29" t="s">
        <v>0</v>
      </c>
      <c r="M25" s="30">
        <v>25</v>
      </c>
      <c r="N25" s="28">
        <v>23</v>
      </c>
      <c r="O25" s="29" t="s">
        <v>0</v>
      </c>
      <c r="P25" s="30">
        <v>25</v>
      </c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66</v>
      </c>
      <c r="X25" s="29" t="s">
        <v>0</v>
      </c>
      <c r="Y25" s="32">
        <f>SUM(J25,M25,P25,S25,V25)</f>
        <v>75</v>
      </c>
      <c r="AA25" s="12">
        <f t="shared" ref="AA25" si="40">AD25+AE25</f>
        <v>3</v>
      </c>
      <c r="AB25" s="12" t="str">
        <f t="shared" ref="AB25" si="41">IF(OR(D25="",F25=""),0,IF(D25&gt;F25,C25,G25))</f>
        <v>Italy</v>
      </c>
      <c r="AC25" s="12">
        <f t="shared" ref="AC25" si="42">IF(OR(D25="",F25=""),0,1)</f>
        <v>1</v>
      </c>
      <c r="AD25" s="12">
        <f t="shared" ref="AD25" si="43">IF(OR(D25="",F25=""),0,IF(D25&gt;F25,D25,F25))</f>
        <v>3</v>
      </c>
      <c r="AE25" s="12">
        <f t="shared" ref="AE25" si="44">IF(OR(D25="",F25=""),0,IF(D25&gt;F25,F25,D25))</f>
        <v>0</v>
      </c>
      <c r="AF25" s="12">
        <f t="shared" ref="AF25" si="45">IF(AND(AD25=3,AE25=0),1,0)</f>
        <v>1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75</v>
      </c>
      <c r="AJ25" s="12">
        <f t="shared" ref="AJ25" si="49">IF(D25&gt;F25,SUM(J25,M25,P25,S25,V25),SUM(H25,K25,N25,Q25,T25))</f>
        <v>66</v>
      </c>
      <c r="AL25" s="12" t="str">
        <f t="shared" ref="AL25" si="50">IF(OR(D25="",F25=""),0,IF(D25&lt;F25,C25,G25))</f>
        <v>Poland</v>
      </c>
      <c r="AM25" s="12">
        <f t="shared" ref="AM25" si="51">IF(OR(D25="",F25=""),0,1)</f>
        <v>1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3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1</v>
      </c>
      <c r="AS25" s="12">
        <f t="shared" ref="AS25" si="57">IF(D25&lt;F25,SUM(H25,K25,N25,Q25,T25,),SUM(J25,M25,P25,S25,V25))</f>
        <v>66</v>
      </c>
      <c r="AT25" s="12">
        <f t="shared" ref="AT25" si="58">IF(D25&lt;F25,SUM(J25,M25,P25,S25,V25),SUM(H25,K25,N25,Q25,T25))</f>
        <v>75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76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54</v>
      </c>
      <c r="C29" s="35"/>
      <c r="D29" s="58" t="s">
        <v>55</v>
      </c>
      <c r="E29" s="58"/>
      <c r="F29" s="58"/>
      <c r="G29" s="36"/>
      <c r="H29" s="57" t="s">
        <v>56</v>
      </c>
      <c r="I29" s="56"/>
      <c r="J29" s="56"/>
      <c r="K29" s="57" t="s">
        <v>57</v>
      </c>
      <c r="L29" s="56"/>
      <c r="M29" s="56"/>
      <c r="N29" s="57" t="s">
        <v>58</v>
      </c>
      <c r="O29" s="56"/>
      <c r="P29" s="56"/>
      <c r="Q29" s="57" t="s">
        <v>59</v>
      </c>
      <c r="R29" s="56"/>
      <c r="S29" s="56"/>
      <c r="T29" s="57" t="s">
        <v>60</v>
      </c>
      <c r="U29" s="56"/>
      <c r="V29" s="56"/>
      <c r="W29" s="56" t="s">
        <v>1</v>
      </c>
      <c r="X29" s="56"/>
      <c r="Y29" s="56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45928</v>
      </c>
      <c r="C30" s="24" t="str">
        <f>IF(AL24=0,"Loser S1",AL24)</f>
        <v>Czech Republic</v>
      </c>
      <c r="D30" s="48">
        <v>1</v>
      </c>
      <c r="E30" s="49" t="s">
        <v>0</v>
      </c>
      <c r="F30" s="47">
        <v>3</v>
      </c>
      <c r="G30" s="25" t="str">
        <f>IF(AL25=0,"Loser S2",AL25)</f>
        <v>Poland</v>
      </c>
      <c r="H30" s="28">
        <v>18</v>
      </c>
      <c r="I30" s="29" t="s">
        <v>0</v>
      </c>
      <c r="J30" s="30">
        <v>25</v>
      </c>
      <c r="K30" s="28">
        <v>25</v>
      </c>
      <c r="L30" s="29" t="s">
        <v>0</v>
      </c>
      <c r="M30" s="30">
        <v>23</v>
      </c>
      <c r="N30" s="28">
        <v>22</v>
      </c>
      <c r="O30" s="29" t="s">
        <v>0</v>
      </c>
      <c r="P30" s="30">
        <v>25</v>
      </c>
      <c r="Q30" s="28">
        <v>21</v>
      </c>
      <c r="R30" s="29" t="s">
        <v>0</v>
      </c>
      <c r="S30" s="30">
        <v>25</v>
      </c>
      <c r="T30" s="28"/>
      <c r="U30" s="29" t="s">
        <v>0</v>
      </c>
      <c r="V30" s="30"/>
      <c r="W30" s="31">
        <f>SUM(H30,K30,N30,Q30,T30)</f>
        <v>86</v>
      </c>
      <c r="X30" s="29" t="s">
        <v>0</v>
      </c>
      <c r="Y30" s="32">
        <f>SUM(J30,M30,P30,S30,V30)</f>
        <v>98</v>
      </c>
      <c r="AA30" s="12">
        <f>AD30+AE30</f>
        <v>4</v>
      </c>
      <c r="AB30" s="12" t="str">
        <f>IF(OR(D30="",F30=""),0,IF(D30&gt;F30,C30,G30))</f>
        <v>Poland</v>
      </c>
      <c r="AC30" s="12">
        <f>IF(OR(D30="",F30=""),0,1)</f>
        <v>1</v>
      </c>
      <c r="AD30" s="12">
        <f>IF(OR(D30="",F30=""),0,IF(D30&gt;F30,D30,F30))</f>
        <v>3</v>
      </c>
      <c r="AE30" s="12">
        <f>IF(OR(D30="",F30=""),0,IF(D30&gt;F30,F30,D30))</f>
        <v>1</v>
      </c>
      <c r="AF30" s="12">
        <f>IF(AND(AD30=3,AE30=0),1,0)</f>
        <v>0</v>
      </c>
      <c r="AG30" s="12">
        <f>IF(AND(AD30=3,AE30=1),1,0)</f>
        <v>1</v>
      </c>
      <c r="AH30" s="12">
        <f>IF(AND(AD30=3,AE30=2),1,0)</f>
        <v>0</v>
      </c>
      <c r="AI30" s="12">
        <f>IF(D30&gt;F30,SUM(H30,K30,N30,Q30,T30,),SUM(J30,M30,P30,S30,V30))</f>
        <v>98</v>
      </c>
      <c r="AJ30" s="12">
        <f>IF(D30&gt;F30,SUM(J30,M30,P30,S30,V30),SUM(H30,K30,N30,Q30,T30))</f>
        <v>86</v>
      </c>
      <c r="AK30" s="12"/>
      <c r="AL30" s="12" t="str">
        <f>IF(OR(D30="",F30=""),0,IF(D30&lt;F30,C30,G30))</f>
        <v>Czech Republic</v>
      </c>
      <c r="AM30" s="12">
        <f>IF(OR(D30="",F30=""),0,1)</f>
        <v>1</v>
      </c>
      <c r="AN30" s="12">
        <f>IF(OR(D30="",F30=""),0,IF(D30&lt;F30,D30,F30))</f>
        <v>1</v>
      </c>
      <c r="AO30" s="12">
        <f>IF(OR(D30="",F30=""),0,IF(D30&lt;F30,F30,D30))</f>
        <v>3</v>
      </c>
      <c r="AP30" s="12">
        <f>IF(AND(AN30=2,AO30=3),1,0)</f>
        <v>0</v>
      </c>
      <c r="AQ30" s="12">
        <f>IF(AND(AN30=1,AO30=3),1,0)</f>
        <v>1</v>
      </c>
      <c r="AR30" s="12">
        <f>IF(AND(AN30=0,AO30=3),1,0)</f>
        <v>0</v>
      </c>
      <c r="AS30" s="12">
        <f>IF(D30&lt;F30,SUM(H30,K30,N30,Q30,T30,),SUM(J30,M30,P30,S30,V30))</f>
        <v>86</v>
      </c>
      <c r="AT30" s="12">
        <f>IF(D30&lt;F30,SUM(J30,M30,P30,S30,V30),SUM(H30,K30,N30,Q30,T30))</f>
        <v>98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54</v>
      </c>
      <c r="C34" s="35"/>
      <c r="D34" s="58" t="s">
        <v>55</v>
      </c>
      <c r="E34" s="58"/>
      <c r="F34" s="58"/>
      <c r="G34" s="36"/>
      <c r="H34" s="57" t="s">
        <v>56</v>
      </c>
      <c r="I34" s="56"/>
      <c r="J34" s="56"/>
      <c r="K34" s="57" t="s">
        <v>57</v>
      </c>
      <c r="L34" s="56"/>
      <c r="M34" s="56"/>
      <c r="N34" s="57" t="s">
        <v>58</v>
      </c>
      <c r="O34" s="56"/>
      <c r="P34" s="56"/>
      <c r="Q34" s="57" t="s">
        <v>59</v>
      </c>
      <c r="R34" s="56"/>
      <c r="S34" s="56"/>
      <c r="T34" s="57" t="s">
        <v>60</v>
      </c>
      <c r="U34" s="56"/>
      <c r="V34" s="56"/>
      <c r="W34" s="56" t="s">
        <v>1</v>
      </c>
      <c r="X34" s="56"/>
      <c r="Y34" s="56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45928</v>
      </c>
      <c r="C35" s="24" t="str">
        <f>IF(AB24=0,"Winner S1",AB24)</f>
        <v>Bulgaria</v>
      </c>
      <c r="D35" s="28">
        <v>1</v>
      </c>
      <c r="E35" s="29" t="s">
        <v>0</v>
      </c>
      <c r="F35" s="30">
        <v>3</v>
      </c>
      <c r="G35" s="25" t="str">
        <f>IF(AB25=0,"Winner S2",AB25)</f>
        <v>Italy</v>
      </c>
      <c r="H35" s="28">
        <v>21</v>
      </c>
      <c r="I35" s="29" t="s">
        <v>0</v>
      </c>
      <c r="J35" s="30">
        <v>25</v>
      </c>
      <c r="K35" s="28">
        <v>17</v>
      </c>
      <c r="L35" s="29" t="s">
        <v>0</v>
      </c>
      <c r="M35" s="30">
        <v>25</v>
      </c>
      <c r="N35" s="28">
        <v>25</v>
      </c>
      <c r="O35" s="29" t="s">
        <v>0</v>
      </c>
      <c r="P35" s="30">
        <v>17</v>
      </c>
      <c r="Q35" s="28">
        <v>10</v>
      </c>
      <c r="R35" s="29" t="s">
        <v>0</v>
      </c>
      <c r="S35" s="30">
        <v>25</v>
      </c>
      <c r="T35" s="28"/>
      <c r="U35" s="29" t="s">
        <v>0</v>
      </c>
      <c r="V35" s="30"/>
      <c r="W35" s="31">
        <f>SUM(H35,K35,N35,Q35,T35)</f>
        <v>73</v>
      </c>
      <c r="X35" s="29" t="s">
        <v>0</v>
      </c>
      <c r="Y35" s="32">
        <f>SUM(J35,M35,P35,S35,V35)</f>
        <v>92</v>
      </c>
      <c r="AA35" s="12">
        <f>AD35+AE35</f>
        <v>4</v>
      </c>
      <c r="AB35" s="12" t="str">
        <f>IF(OR(D35="",F35=""),0,IF(D35&gt;F35,C35,G35))</f>
        <v>Italy</v>
      </c>
      <c r="AC35" s="12">
        <f>IF(OR(D35="",F35=""),0,1)</f>
        <v>1</v>
      </c>
      <c r="AD35" s="12">
        <f>IF(OR(D35="",F35=""),0,IF(D35&gt;F35,D35,F35))</f>
        <v>3</v>
      </c>
      <c r="AE35" s="12">
        <f>IF(OR(D35="",F35=""),0,IF(D35&gt;F35,F35,D35))</f>
        <v>1</v>
      </c>
      <c r="AF35" s="12">
        <f>IF(AND(AD35=3,AE35=0),1,0)</f>
        <v>0</v>
      </c>
      <c r="AG35" s="12">
        <f>IF(AND(AD35=3,AE35=1),1,0)</f>
        <v>1</v>
      </c>
      <c r="AH35" s="12">
        <f>IF(AND(AD35=3,AE35=2),1,0)</f>
        <v>0</v>
      </c>
      <c r="AI35" s="12">
        <f>IF(D35&gt;F35,SUM(H35,K35,N35,Q35,T35,),SUM(J35,M35,P35,S35,V35))</f>
        <v>92</v>
      </c>
      <c r="AJ35" s="12">
        <f>IF(D35&gt;F35,SUM(J35,M35,P35,S35,V35),SUM(H35,K35,N35,Q35,T35))</f>
        <v>73</v>
      </c>
      <c r="AL35" s="12" t="str">
        <f>IF(OR(D35="",F35=""),0,IF(D35&lt;F35,C35,G35))</f>
        <v>Bulgaria</v>
      </c>
      <c r="AM35" s="12">
        <f>IF(OR(D35="",F35=""),0,1)</f>
        <v>1</v>
      </c>
      <c r="AN35" s="12">
        <f>IF(OR(D35="",F35=""),0,IF(D35&lt;F35,D35,F35))</f>
        <v>1</v>
      </c>
      <c r="AO35" s="12">
        <f>IF(OR(D35="",F35=""),0,IF(D35&lt;F35,F35,D35))</f>
        <v>3</v>
      </c>
      <c r="AP35" s="12">
        <f>IF(AND(AN35=2,AO35=3),1,0)</f>
        <v>0</v>
      </c>
      <c r="AQ35" s="12">
        <f>IF(AND(AN35=1,AO35=3),1,0)</f>
        <v>1</v>
      </c>
      <c r="AR35" s="12">
        <f>IF(AND(AN35=0,AO35=3),1,0)</f>
        <v>0</v>
      </c>
      <c r="AS35" s="12">
        <f>IF(D35&lt;F35,SUM(H35,K35,N35,Q35,T35,),SUM(J35,M35,P35,S35,V35))</f>
        <v>73</v>
      </c>
      <c r="AT35" s="12">
        <f>IF(D35&lt;F35,SUM(J35,M35,P35,S35,V35),SUM(H35,K35,N35,Q35,T35))</f>
        <v>92</v>
      </c>
    </row>
    <row r="37" spans="2:46" ht="24.75" customHeight="1" x14ac:dyDescent="0.25">
      <c r="B37" s="78" t="s">
        <v>77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IF(AB35=0,"Champion",AB35)</f>
        <v>Italy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IF(AL35=0,"Runner Up",AL35)</f>
        <v>Bulgaria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IF(AB30=0,"3rd",AB30)</f>
        <v>Poland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objects="1" scenarios="1" selectLockedCells="1"/>
  <mergeCells count="48">
    <mergeCell ref="B4:Y4"/>
    <mergeCell ref="D5:F5"/>
    <mergeCell ref="H5:J5"/>
    <mergeCell ref="K5:M5"/>
    <mergeCell ref="N5:P5"/>
    <mergeCell ref="Q5:S5"/>
    <mergeCell ref="T5:V5"/>
    <mergeCell ref="W5:Y5"/>
    <mergeCell ref="W34:Y34"/>
    <mergeCell ref="B37:C37"/>
    <mergeCell ref="D34:F34"/>
    <mergeCell ref="H34:J34"/>
    <mergeCell ref="K34:M34"/>
    <mergeCell ref="N34:P34"/>
    <mergeCell ref="Q34:S34"/>
    <mergeCell ref="T34:V34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</mergeCells>
  <conditionalFormatting sqref="BM18:XFD18 BM22:XFD23 BM20:XFD20 A18:A20 Z18:Z20 A41:A1048576 B53:Y1048576 B38:Y47 B37 D37:Y37 Z41:AT1048576 BM41:XFD1048576 A3:XFD3 BM6:XFD15 A4:A15 Z22:AT22 AA5:AT13 Z26:AT28 Z23:Z25 Z29:Z30 B36:AT36 Z34:Z35 BM25:XFD36 A22:A36 Z31:AT33 Z5:XFD5 B14:AT15 B21:Y22 B28:Y28 B33:Y33 Z6:Z13 AW24:BL1048576 AU21:AV1048576 B4:XFD4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dc8c2798-6aba-4af7-93a4-b89253b0365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c8c20e6-817c-474f-b9c2-eb2b1ac2483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2025-09-29T12:26:27Z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