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74E7559-C176-49CE-8522-E8DF5FE8FBC4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AD27" i="1"/>
  <c r="AD26" i="1"/>
  <c r="AD25" i="1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K10" i="2"/>
  <c r="H11" i="2"/>
  <c r="M12" i="2"/>
  <c r="M3" i="2"/>
  <c r="I11" i="2"/>
  <c r="J5" i="2"/>
  <c r="H3" i="2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5" i="2" l="1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M55" i="1" s="1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G8" i="3" l="1"/>
  <c r="AL8" i="3" s="1"/>
  <c r="C9" i="3"/>
  <c r="AB9" i="3" s="1"/>
  <c r="G18" i="3" s="1"/>
  <c r="C11" i="3"/>
  <c r="AB11" i="3" s="1"/>
  <c r="G19" i="3" s="1"/>
  <c r="G10" i="3"/>
  <c r="AL10" i="3" s="1"/>
  <c r="C7" i="3"/>
  <c r="AB7" i="3" s="1"/>
  <c r="G17" i="3" s="1"/>
  <c r="G6" i="3"/>
  <c r="AL6" i="3" s="1"/>
  <c r="AY31" i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12" i="3" l="1"/>
  <c r="G7" i="3"/>
  <c r="AL7" i="3" s="1"/>
  <c r="C13" i="3"/>
  <c r="AB13" i="3" s="1"/>
  <c r="G20" i="3" s="1"/>
  <c r="C12" i="3"/>
  <c r="AB12" i="3" s="1"/>
  <c r="C20" i="3" s="1"/>
  <c r="C6" i="3"/>
  <c r="AB6" i="3" s="1"/>
  <c r="C17" i="3" s="1"/>
  <c r="G11" i="3"/>
  <c r="AL11" i="3" s="1"/>
  <c r="G13" i="3"/>
  <c r="AL13" i="3" s="1"/>
  <c r="C10" i="3"/>
  <c r="AB10" i="3" s="1"/>
  <c r="C19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<sst xmlns="http://schemas.openxmlformats.org/spreadsheetml/2006/main" count="1114" uniqueCount="110">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</sst>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Q28" sqref="Q28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2</v>
      </c>
      <c r="C3" t="s">
        <v>75</v>
      </c>
      <c r="D3" s="1">
        <f>SUM(H3*3,I3*3,J3*2,K3)</f>
        <v>7</v>
      </c>
      <c r="E3" s="1">
        <f>F3+G3</f>
        <v>3</v>
      </c>
      <c r="F3" s="1">
        <f>COUNTIF(Preliminary!AE:AE,Dummy!C3)</f>
        <v>2</v>
      </c>
      <c r="G3" s="1">
        <f>COUNTIF(Preliminary!AO:AO,Dummy!C3)</f>
        <v>1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8</v>
      </c>
      <c r="O3" s="1">
        <f>SUMIF(Preliminary!AE:AE,C3,Preliminary!AH:AH)+SUMIF(Preliminary!AO:AO,C3,Preliminary!AR:AR)</f>
        <v>4</v>
      </c>
      <c r="P3" s="4">
        <f>IFERROR((N3/O3)*1000,"MAX")</f>
        <v>2000</v>
      </c>
      <c r="Q3" s="1">
        <f>SUMIF(Preliminary!AE:AE,C3,Preliminary!AL:AL)+SUMIF(Preliminary!AO:AO,C3,Preliminary!AV:AV)</f>
        <v>264</v>
      </c>
      <c r="R3" s="1">
        <f>SUMIF(Preliminary!AE:AE,C3,Preliminary!AM:AM)+SUMIF(Preliminary!AO:AO,C3,Preliminary!AW:AW)</f>
        <v>238</v>
      </c>
      <c r="S3" s="4">
        <f t="shared" ref="S3:S20" si="0">IFERROR((Q3/R3)*1000,"MAX")</f>
        <v>1109.2436974789916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1</v>
      </c>
      <c r="C4" t="s">
        <v>52</v>
      </c>
      <c r="D4" s="1">
        <f t="shared" ref="D4:D20" si="1">SUM(H4*3,I4*3,J4*2,K4)</f>
        <v>7</v>
      </c>
      <c r="E4" s="1">
        <f t="shared" ref="E4:E20" si="2">F4+G4</f>
        <v>3</v>
      </c>
      <c r="F4" s="1">
        <f>COUNTIF(Preliminary!AE:AE,Dummy!C4)</f>
        <v>3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2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9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2250</v>
      </c>
      <c r="Q4" s="1">
        <f>SUMIF(Preliminary!AE:AE,C4,Preliminary!AL:AL)+SUMIF(Preliminary!AO:AO,C4,Preliminary!AV:AV)</f>
        <v>298</v>
      </c>
      <c r="R4" s="1">
        <f>SUMIF(Preliminary!AE:AE,C4,Preliminary!AM:AM)+SUMIF(Preliminary!AO:AO,C4,Preliminary!AW:AW)</f>
        <v>225</v>
      </c>
      <c r="S4" s="4">
        <f t="shared" si="0"/>
        <v>1324.4444444444446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4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5</v>
      </c>
      <c r="O5" s="1">
        <f>SUMIF(Preliminary!AE:AE,C5,Preliminary!AH:AH)+SUMIF(Preliminary!AO:AO,C5,Preliminary!AR:AR)</f>
        <v>7</v>
      </c>
      <c r="P5" s="4">
        <f t="shared" si="3"/>
        <v>714.28571428571433</v>
      </c>
      <c r="Q5" s="1">
        <f>SUMIF(Preliminary!AE:AE,C5,Preliminary!AL:AL)+SUMIF(Preliminary!AO:AO,C5,Preliminary!AV:AV)</f>
        <v>254</v>
      </c>
      <c r="R5" s="1">
        <f>SUMIF(Preliminary!AE:AE,C5,Preliminary!AM:AM)+SUMIF(Preliminary!AO:AO,C5,Preliminary!AW:AW)</f>
        <v>268</v>
      </c>
      <c r="S5" s="4">
        <f t="shared" si="0"/>
        <v>947.76119402985069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3</v>
      </c>
      <c r="F6" s="1">
        <f>COUNTIF(Preliminary!AE:AE,Dummy!C6)</f>
        <v>0</v>
      </c>
      <c r="G6" s="1">
        <f>COUNTIF(Preliminary!AO:AO,Dummy!C6)</f>
        <v>3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2</v>
      </c>
      <c r="M6" s="1">
        <f>SUMIF(Preliminary!$AO:$AO,Dummy!$C6,Preliminary!AU:AU)</f>
        <v>1</v>
      </c>
      <c r="N6" s="1">
        <f>SUMIF(Preliminary!AE:AE,C6,Preliminary!AG:AG)+SUMIF(Preliminary!AO:AO,C6,Preliminary!AQ:AQ)</f>
        <v>2</v>
      </c>
      <c r="O6" s="1">
        <f>SUMIF(Preliminary!AE:AE,C6,Preliminary!AH:AH)+SUMIF(Preliminary!AO:AO,C6,Preliminary!AR:AR)</f>
        <v>9</v>
      </c>
      <c r="P6" s="4">
        <f t="shared" si="3"/>
        <v>222.2222222222222</v>
      </c>
      <c r="Q6" s="1">
        <f>SUMIF(Preliminary!AE:AE,C6,Preliminary!AL:AL)+SUMIF(Preliminary!AO:AO,C6,Preliminary!AV:AV)</f>
        <v>189</v>
      </c>
      <c r="R6" s="1">
        <f>SUMIF(Preliminary!AE:AE,C6,Preliminary!AM:AM)+SUMIF(Preliminary!AO:AO,C6,Preliminary!AW:AW)</f>
        <v>274</v>
      </c>
      <c r="S6" s="4">
        <f t="shared" si="0"/>
        <v>689.78102189781021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246</v>
      </c>
      <c r="R7" s="1">
        <f>SUMIF(Preliminary!AE:AE,C7,Preliminary!AM:AM)+SUMIF(Preliminary!AO:AO,C7,Preliminary!AW:AW)</f>
        <v>157</v>
      </c>
      <c r="S7" s="4">
        <f t="shared" si="0"/>
        <v>1566.8789808917199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3</v>
      </c>
      <c r="P8" s="4">
        <f t="shared" si="3"/>
        <v>2333.3333333333335</v>
      </c>
      <c r="Q8" s="1">
        <f>SUMIF(Preliminary!AE:AE,C8,Preliminary!AL:AL)+SUMIF(Preliminary!AO:AO,C8,Preliminary!AV:AV)</f>
        <v>225</v>
      </c>
      <c r="R8" s="1">
        <f>SUMIF(Preliminary!AE:AE,C8,Preliminary!AM:AM)+SUMIF(Preliminary!AO:AO,C8,Preliminary!AW:AW)</f>
        <v>198</v>
      </c>
      <c r="S8" s="4">
        <f t="shared" si="0"/>
        <v>1136.3636363636365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3</v>
      </c>
      <c r="O9" s="1">
        <f>SUMIF(Preliminary!AE:AE,C9,Preliminary!AH:AH)+SUMIF(Preliminary!AO:AO,C9,Preliminary!AR:AR)</f>
        <v>7</v>
      </c>
      <c r="P9" s="4">
        <f t="shared" si="3"/>
        <v>428.57142857142856</v>
      </c>
      <c r="Q9" s="1">
        <f>SUMIF(Preliminary!AE:AE,C9,Preliminary!AL:AL)+SUMIF(Preliminary!AO:AO,C9,Preliminary!AV:AV)</f>
        <v>181</v>
      </c>
      <c r="R9" s="1">
        <f>SUMIF(Preliminary!AE:AE,C9,Preliminary!AM:AM)+SUMIF(Preliminary!AO:AO,C9,Preliminary!AW:AW)</f>
        <v>245</v>
      </c>
      <c r="S9" s="4">
        <f t="shared" si="0"/>
        <v>738.77551020408157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198</v>
      </c>
      <c r="R10" s="1">
        <f>SUMIF(Preliminary!AE:AE,C10,Preliminary!AM:AM)+SUMIF(Preliminary!AO:AO,C10,Preliminary!AW:AW)</f>
        <v>250</v>
      </c>
      <c r="S10" s="4">
        <f t="shared" si="0"/>
        <v>792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8</v>
      </c>
      <c r="E11" s="1">
        <f t="shared" si="2"/>
        <v>3</v>
      </c>
      <c r="F11" s="1">
        <f>COUNTIF(Preliminary!AE:AE,Dummy!C11)</f>
        <v>3</v>
      </c>
      <c r="G11" s="1">
        <f>COUNTIF(Preliminary!AO:AO,Dummy!C11)</f>
        <v>0</v>
      </c>
      <c r="H11" s="1">
        <f>SUMIF(Preliminary!$AE:$AE,Dummy!$C11,Preliminary!AI:AI)</f>
        <v>2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9</v>
      </c>
      <c r="O11" s="1">
        <f>SUMIF(Preliminary!AE:AE,C11,Preliminary!AH:AH)+SUMIF(Preliminary!AO:AO,C11,Preliminary!AR:AR)</f>
        <v>2</v>
      </c>
      <c r="P11" s="4">
        <f t="shared" si="3"/>
        <v>4500</v>
      </c>
      <c r="Q11" s="1">
        <f>SUMIF(Preliminary!AE:AE,C11,Preliminary!AL:AL)+SUMIF(Preliminary!AO:AO,C11,Preliminary!AV:AV)</f>
        <v>256</v>
      </c>
      <c r="R11" s="1">
        <f>SUMIF(Preliminary!AE:AE,C11,Preliminary!AM:AM)+SUMIF(Preliminary!AO:AO,C11,Preliminary!AW:AW)</f>
        <v>195</v>
      </c>
      <c r="S11" s="4">
        <f t="shared" si="0"/>
        <v>1312.8205128205129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3</v>
      </c>
      <c r="F12" s="1">
        <f>COUNTIF(Preliminary!AE:AE,Dummy!C12)</f>
        <v>0</v>
      </c>
      <c r="G12" s="1">
        <f>COUNTIF(Preliminary!AO:AO,Dummy!C12)</f>
        <v>3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1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9</v>
      </c>
      <c r="P12" s="4">
        <f t="shared" si="3"/>
        <v>222.2222222222222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269</v>
      </c>
      <c r="S12" s="4">
        <f t="shared" si="0"/>
        <v>743.49442379182153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7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2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5</v>
      </c>
      <c r="P13" s="4">
        <f t="shared" si="3"/>
        <v>1600</v>
      </c>
      <c r="Q13" s="1">
        <f>SUMIF(Preliminary!AE:AE,C13,Preliminary!AL:AL)+SUMIF(Preliminary!AO:AO,C13,Preliminary!AV:AV)</f>
        <v>286</v>
      </c>
      <c r="R13" s="1">
        <f>SUMIF(Preliminary!AE:AE,C13,Preliminary!AM:AM)+SUMIF(Preliminary!AO:AO,C13,Preliminary!AW:AW)</f>
        <v>274</v>
      </c>
      <c r="S13" s="4">
        <f t="shared" si="0"/>
        <v>1043.7956204379561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3</v>
      </c>
      <c r="F14" s="1">
        <f>COUNTIF(Preliminary!AE:AE,Dummy!C14)</f>
        <v>1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4</v>
      </c>
      <c r="O14" s="1">
        <f>SUMIF(Preliminary!AE:AE,C14,Preliminary!AH:AH)+SUMIF(Preliminary!AO:AO,C14,Preliminary!AR:AR)</f>
        <v>7</v>
      </c>
      <c r="P14" s="4">
        <f t="shared" si="3"/>
        <v>571.42857142857144</v>
      </c>
      <c r="Q14" s="1">
        <f>SUMIF(Preliminary!AE:AE,C14,Preliminary!AL:AL)+SUMIF(Preliminary!AO:AO,C14,Preliminary!AV:AV)</f>
        <v>237</v>
      </c>
      <c r="R14" s="1">
        <f>SUMIF(Preliminary!AE:AE,C14,Preliminary!AM:AM)+SUMIF(Preliminary!AO:AO,C14,Preliminary!AW:AW)</f>
        <v>241</v>
      </c>
      <c r="S14" s="4">
        <f t="shared" si="0"/>
        <v>983.40248962655596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1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2</v>
      </c>
      <c r="P15" s="4">
        <f t="shared" si="3"/>
        <v>4500</v>
      </c>
      <c r="Q15" s="1">
        <f>SUMIF(Preliminary!AE:AE,C15,Preliminary!AL:AL)+SUMIF(Preliminary!AO:AO,C15,Preliminary!AV:AV)</f>
        <v>266</v>
      </c>
      <c r="R15" s="1">
        <f>SUMIF(Preliminary!AE:AE,C15,Preliminary!AM:AM)+SUMIF(Preliminary!AO:AO,C15,Preliminary!AW:AW)</f>
        <v>211</v>
      </c>
      <c r="S15" s="4">
        <f t="shared" si="0"/>
        <v>1260.6635071090047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4</v>
      </c>
      <c r="C16" t="s">
        <v>77</v>
      </c>
      <c r="D16" s="1">
        <f t="shared" si="1"/>
        <v>2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1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8</v>
      </c>
      <c r="P16" s="4">
        <f t="shared" si="3"/>
        <v>500</v>
      </c>
      <c r="Q16" s="1">
        <f>SUMIF(Preliminary!AE:AE,C16,Preliminary!AL:AL)+SUMIF(Preliminary!AO:AO,C16,Preliminary!AV:AV)</f>
        <v>254</v>
      </c>
      <c r="R16" s="1">
        <f>SUMIF(Preliminary!AE:AE,C16,Preliminary!AM:AM)+SUMIF(Preliminary!AO:AO,C16,Preliminary!AW:AW)</f>
        <v>274</v>
      </c>
      <c r="S16" s="4">
        <f t="shared" si="0"/>
        <v>927.00729927007296</v>
      </c>
      <c r="T16" s="1">
        <f t="shared" ref="T16:T18" si="18">SUMPRODUCT(($F$15:$F$18=F16)*($D$15:$D$18&gt;D16))</f>
        <v>2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3</v>
      </c>
      <c r="E17" s="1">
        <f t="shared" si="2"/>
        <v>3</v>
      </c>
      <c r="F17" s="1">
        <f>COUNTIF(Preliminary!AE:AE,Dummy!C17)</f>
        <v>1</v>
      </c>
      <c r="G17" s="1">
        <f>COUNTIF(Preliminary!AO:AO,Dummy!C17)</f>
        <v>2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7</v>
      </c>
      <c r="P17" s="4">
        <f t="shared" si="3"/>
        <v>571.42857142857144</v>
      </c>
      <c r="Q17" s="1">
        <f>SUMIF(Preliminary!AE:AE,C17,Preliminary!AL:AL)+SUMIF(Preliminary!AO:AO,C17,Preliminary!AV:AV)</f>
        <v>225</v>
      </c>
      <c r="R17" s="1">
        <f>SUMIF(Preliminary!AE:AE,C17,Preliminary!AM:AM)+SUMIF(Preliminary!AO:AO,C17,Preliminary!AW:AW)</f>
        <v>262</v>
      </c>
      <c r="S17" s="4">
        <f t="shared" si="0"/>
        <v>858.77862595419856</v>
      </c>
      <c r="T17" s="1">
        <f t="shared" si="18"/>
        <v>1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2</v>
      </c>
      <c r="C18" t="s">
        <v>67</v>
      </c>
      <c r="D18" s="1">
        <f t="shared" si="1"/>
        <v>4</v>
      </c>
      <c r="E18" s="1">
        <f t="shared" si="2"/>
        <v>3</v>
      </c>
      <c r="F18" s="1">
        <f>COUNTIF(Preliminary!AE:AE,Dummy!C18)</f>
        <v>1</v>
      </c>
      <c r="G18" s="1">
        <f>COUNTIF(Preliminary!AO:AO,Dummy!C18)</f>
        <v>2</v>
      </c>
      <c r="H18" s="1">
        <f>SUMIF(Preliminary!$AE:$AE,Dummy!$C18,Preliminary!AI:AI)</f>
        <v>1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6</v>
      </c>
      <c r="O18" s="1">
        <f>SUMIF(Preliminary!AE:AE,C18,Preliminary!AH:AH)+SUMIF(Preliminary!AO:AO,C18,Preliminary!AR:AR)</f>
        <v>6</v>
      </c>
      <c r="P18" s="4">
        <f t="shared" si="3"/>
        <v>1000</v>
      </c>
      <c r="Q18" s="1">
        <f>SUMIF(Preliminary!AE:AE,C18,Preliminary!AL:AL)+SUMIF(Preliminary!AO:AO,C18,Preliminary!AV:AV)</f>
        <v>263</v>
      </c>
      <c r="R18" s="1">
        <f>SUMIF(Preliminary!AE:AE,C18,Preliminary!AM:AM)+SUMIF(Preliminary!AO:AO,C18,Preliminary!AW:AW)</f>
        <v>261</v>
      </c>
      <c r="S18" s="4">
        <f t="shared" si="0"/>
        <v>1007.6628352490422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9</v>
      </c>
      <c r="E19" s="1">
        <f t="shared" si="2"/>
        <v>3</v>
      </c>
      <c r="F19" s="1">
        <f>COUNTIF(Preliminary!AE:AE,Dummy!C19)</f>
        <v>3</v>
      </c>
      <c r="G19" s="1">
        <f>COUNTIF(Preliminary!AO:AO,Dummy!C19)</f>
        <v>0</v>
      </c>
      <c r="H19" s="1">
        <f>SUMIF(Preliminary!$AE:$AE,Dummy!$C19,Preliminary!AI:AI)</f>
        <v>3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9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227</v>
      </c>
      <c r="R19" s="1">
        <f>SUMIF(Preliminary!AE:AE,C19,Preliminary!AM:AM)+SUMIF(Preliminary!AO:AO,C19,Preliminary!AW:AW)</f>
        <v>175</v>
      </c>
      <c r="S19" s="4">
        <f t="shared" si="0"/>
        <v>1297.1428571428571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3</v>
      </c>
      <c r="F20" s="1">
        <f>COUNTIF(Preliminary!AE:AE,Dummy!C20)</f>
        <v>2</v>
      </c>
      <c r="G20" s="1">
        <f>COUNTIF(Preliminary!AO:AO,Dummy!C20)</f>
        <v>1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6</v>
      </c>
      <c r="P20" s="4">
        <f t="shared" si="3"/>
        <v>1000</v>
      </c>
      <c r="Q20" s="1">
        <f>SUMIF(Preliminary!AE:AE,C20,Preliminary!AL:AL)+SUMIF(Preliminary!AO:AO,C20,Preliminary!AV:AV)</f>
        <v>271</v>
      </c>
      <c r="R20" s="1">
        <f>SUMIF(Preliminary!AE:AE,C20,Preliminary!AM:AM)+SUMIF(Preliminary!AO:AO,C20,Preliminary!AW:AW)</f>
        <v>264</v>
      </c>
      <c r="S20" s="4">
        <f t="shared" si="0"/>
        <v>1026.5151515151515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3</v>
      </c>
      <c r="F21" s="1">
        <f>COUNTIF(Preliminary!AE:AE,Dummy!C21)</f>
        <v>0</v>
      </c>
      <c r="G21" s="1">
        <f>COUNTIF(Preliminary!AO:AO,Dummy!C21)</f>
        <v>3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2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2</v>
      </c>
      <c r="O21" s="1">
        <f>SUMIF(Preliminary!AE:AE,C21,Preliminary!AH:AH)+SUMIF(Preliminary!AO:AO,C21,Preliminary!AR:AR)</f>
        <v>9</v>
      </c>
      <c r="P21" s="4">
        <f t="shared" ref="P21:P34" si="26">IFERROR((N21/O21)*1000,"MAX")</f>
        <v>222.2222222222222</v>
      </c>
      <c r="Q21" s="1">
        <f>SUMIF(Preliminary!AE:AE,C21,Preliminary!AL:AL)+SUMIF(Preliminary!AO:AO,C21,Preliminary!AV:AV)</f>
        <v>218</v>
      </c>
      <c r="R21" s="1">
        <f>SUMIF(Preliminary!AE:AE,C21,Preliminary!AM:AM)+SUMIF(Preliminary!AO:AO,C21,Preliminary!AW:AW)</f>
        <v>270</v>
      </c>
      <c r="S21" s="4">
        <f t="shared" ref="S21:S34" si="27">IFERROR((Q21/R21)*1000,"MAX")</f>
        <v>807.4074074074075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4</v>
      </c>
      <c r="E22" s="1">
        <f t="shared" si="25"/>
        <v>3</v>
      </c>
      <c r="F22" s="1">
        <f>COUNTIF(Preliminary!AE:AE,Dummy!C22)</f>
        <v>1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1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5</v>
      </c>
      <c r="O22" s="1">
        <f>SUMIF(Preliminary!AE:AE,C22,Preliminary!AH:AH)+SUMIF(Preliminary!AO:AO,C22,Preliminary!AR:AR)</f>
        <v>7</v>
      </c>
      <c r="P22" s="4">
        <f t="shared" si="26"/>
        <v>714.28571428571433</v>
      </c>
      <c r="Q22" s="1">
        <f>SUMIF(Preliminary!AE:AE,C22,Preliminary!AL:AL)+SUMIF(Preliminary!AO:AO,C22,Preliminary!AV:AV)</f>
        <v>261</v>
      </c>
      <c r="R22" s="1">
        <f>SUMIF(Preliminary!AE:AE,C22,Preliminary!AM:AM)+SUMIF(Preliminary!AO:AO,C22,Preliminary!AW:AW)</f>
        <v>268</v>
      </c>
      <c r="S22" s="4">
        <f t="shared" si="27"/>
        <v>973.88059701492534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9</v>
      </c>
      <c r="E23" s="1">
        <f t="shared" si="25"/>
        <v>3</v>
      </c>
      <c r="F23" s="1">
        <f>COUNTIF(Preliminary!AE:AE,Dummy!C23)</f>
        <v>3</v>
      </c>
      <c r="G23" s="1">
        <f>COUNTIF(Preliminary!AO:AO,Dummy!C23)</f>
        <v>0</v>
      </c>
      <c r="H23" s="1">
        <f>SUMIF(Preliminary!$AE:$AE,Dummy!$C23,Preliminary!AI:AI)</f>
        <v>1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9</v>
      </c>
      <c r="O23" s="1">
        <f>SUMIF(Preliminary!AE:AE,C23,Preliminary!AH:AH)+SUMIF(Preliminary!AO:AO,C23,Preliminary!AR:AR)</f>
        <v>2</v>
      </c>
      <c r="P23" s="4">
        <f t="shared" si="26"/>
        <v>4500</v>
      </c>
      <c r="Q23" s="1">
        <f>SUMIF(Preliminary!AE:AE,C23,Preliminary!AL:AL)+SUMIF(Preliminary!AO:AO,C23,Preliminary!AV:AV)</f>
        <v>271</v>
      </c>
      <c r="R23" s="1">
        <f>SUMIF(Preliminary!AE:AE,C23,Preliminary!AM:AM)+SUMIF(Preliminary!AO:AO,C23,Preliminary!AW:AW)</f>
        <v>201</v>
      </c>
      <c r="S23" s="4">
        <f t="shared" si="27"/>
        <v>1348.2587064676616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6</v>
      </c>
      <c r="E24" s="1">
        <f t="shared" si="25"/>
        <v>3</v>
      </c>
      <c r="F24" s="1">
        <f>COUNTIF(Preliminary!AE:AE,Dummy!C24)</f>
        <v>2</v>
      </c>
      <c r="G24" s="1">
        <f>COUNTIF(Preliminary!AO:AO,Dummy!C24)</f>
        <v>1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3</v>
      </c>
      <c r="P24" s="4">
        <f t="shared" si="26"/>
        <v>2000</v>
      </c>
      <c r="Q24" s="1">
        <f>SUMIF(Preliminary!AE:AE,C24,Preliminary!AL:AL)+SUMIF(Preliminary!AO:AO,C24,Preliminary!AV:AV)</f>
        <v>203</v>
      </c>
      <c r="R24" s="1">
        <f>SUMIF(Preliminary!AE:AE,C24,Preliminary!AM:AM)+SUMIF(Preliminary!AO:AO,C24,Preliminary!AW:AW)</f>
        <v>173</v>
      </c>
      <c r="S24" s="4">
        <f t="shared" si="27"/>
        <v>1173.4104046242776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1</v>
      </c>
      <c r="E25" s="1">
        <f t="shared" si="25"/>
        <v>3</v>
      </c>
      <c r="F25" s="1">
        <f>COUNTIF(Preliminary!AE:AE,Dummy!C25)</f>
        <v>0</v>
      </c>
      <c r="G25" s="1">
        <f>COUNTIF(Preliminary!AO:AO,Dummy!C25)</f>
        <v>3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1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3</v>
      </c>
      <c r="O25" s="1">
        <f>SUMIF(Preliminary!AE:AE,C25,Preliminary!AH:AH)+SUMIF(Preliminary!AO:AO,C25,Preliminary!AR:AR)</f>
        <v>9</v>
      </c>
      <c r="P25" s="4">
        <f t="shared" si="26"/>
        <v>333.33333333333331</v>
      </c>
      <c r="Q25" s="1">
        <f>SUMIF(Preliminary!AE:AE,C25,Preliminary!AL:AL)+SUMIF(Preliminary!AO:AO,C25,Preliminary!AV:AV)</f>
        <v>224</v>
      </c>
      <c r="R25" s="1">
        <f>SUMIF(Preliminary!AE:AE,C25,Preliminary!AM:AM)+SUMIF(Preliminary!AO:AO,C25,Preliminary!AW:AW)</f>
        <v>278</v>
      </c>
      <c r="S25" s="4">
        <f t="shared" si="27"/>
        <v>805.75539568345323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2</v>
      </c>
      <c r="E26" s="1">
        <f t="shared" si="25"/>
        <v>3</v>
      </c>
      <c r="F26" s="1">
        <f>COUNTIF(Preliminary!AE:AE,Dummy!C26)</f>
        <v>1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1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4</v>
      </c>
      <c r="O26" s="1">
        <f>SUMIF(Preliminary!AE:AE,C26,Preliminary!AH:AH)+SUMIF(Preliminary!AO:AO,C26,Preliminary!AR:AR)</f>
        <v>8</v>
      </c>
      <c r="P26" s="4">
        <f t="shared" si="26"/>
        <v>500</v>
      </c>
      <c r="Q26" s="1">
        <f>SUMIF(Preliminary!AE:AE,C26,Preliminary!AL:AL)+SUMIF(Preliminary!AO:AO,C26,Preliminary!AV:AV)</f>
        <v>234</v>
      </c>
      <c r="R26" s="1">
        <f>SUMIF(Preliminary!AE:AE,C26,Preliminary!AM:AM)+SUMIF(Preliminary!AO:AO,C26,Preliminary!AW:AW)</f>
        <v>280</v>
      </c>
      <c r="S26" s="4">
        <f t="shared" si="27"/>
        <v>835.71428571428578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8</v>
      </c>
      <c r="E27" s="1">
        <f t="shared" si="25"/>
        <v>3</v>
      </c>
      <c r="F27" s="1">
        <f>COUNTIF(Preliminary!AE:AE,Dummy!C27)</f>
        <v>3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1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9</v>
      </c>
      <c r="O27" s="1">
        <f>SUMIF(Preliminary!AE:AE,C27,Preliminary!AH:AH)+SUMIF(Preliminary!AO:AO,C27,Preliminary!AR:AR)</f>
        <v>4</v>
      </c>
      <c r="P27" s="4">
        <f t="shared" si="26"/>
        <v>2250</v>
      </c>
      <c r="Q27" s="1">
        <f>SUMIF(Preliminary!AE:AE,C27,Preliminary!AL:AL)+SUMIF(Preliminary!AO:AO,C27,Preliminary!AV:AV)</f>
        <v>300</v>
      </c>
      <c r="R27" s="1">
        <f>SUMIF(Preliminary!AE:AE,C27,Preliminary!AM:AM)+SUMIF(Preliminary!AO:AO,C27,Preliminary!AW:AW)</f>
        <v>248</v>
      </c>
      <c r="S27" s="4">
        <f t="shared" si="27"/>
        <v>1209.6774193548388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7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1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8</v>
      </c>
      <c r="O28" s="1">
        <f>SUMIF(Preliminary!AE:AE,C28,Preliminary!AH:AH)+SUMIF(Preliminary!AO:AO,C28,Preliminary!AR:AR)</f>
        <v>3</v>
      </c>
      <c r="P28" s="4">
        <f t="shared" si="26"/>
        <v>2666.6666666666665</v>
      </c>
      <c r="Q28" s="1">
        <f>SUMIF(Preliminary!AE:AE,C28,Preliminary!AL:AL)+SUMIF(Preliminary!AO:AO,C28,Preliminary!AV:AV)</f>
        <v>258</v>
      </c>
      <c r="R28" s="1">
        <f>SUMIF(Preliminary!AE:AE,C28,Preliminary!AM:AM)+SUMIF(Preliminary!AO:AO,C28,Preliminary!AW:AW)</f>
        <v>218</v>
      </c>
      <c r="S28" s="4">
        <f t="shared" si="27"/>
        <v>1183.4862385321101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3</v>
      </c>
      <c r="E29" s="1">
        <f t="shared" si="25"/>
        <v>3</v>
      </c>
      <c r="F29" s="1">
        <f>COUNTIF(Preliminary!AE:AE,Dummy!C29)</f>
        <v>1</v>
      </c>
      <c r="G29" s="1">
        <f>COUNTIF(Preliminary!AO:AO,Dummy!C29)</f>
        <v>2</v>
      </c>
      <c r="H29" s="1">
        <f>SUMIF(Preliminary!$AE:$AE,Dummy!$C29,Preliminary!AI:AI)</f>
        <v>1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4</v>
      </c>
      <c r="O29" s="1">
        <f>SUMIF(Preliminary!AE:AE,C29,Preliminary!AH:AH)+SUMIF(Preliminary!AO:AO,C29,Preliminary!AR:AR)</f>
        <v>6</v>
      </c>
      <c r="P29" s="4">
        <f t="shared" si="26"/>
        <v>666.66666666666663</v>
      </c>
      <c r="Q29" s="1">
        <f>SUMIF(Preliminary!AE:AE,C29,Preliminary!AL:AL)+SUMIF(Preliminary!AO:AO,C29,Preliminary!AV:AV)</f>
        <v>196</v>
      </c>
      <c r="R29" s="1">
        <f>SUMIF(Preliminary!AE:AE,C29,Preliminary!AM:AM)+SUMIF(Preliminary!AO:AO,C29,Preliminary!AW:AW)</f>
        <v>228</v>
      </c>
      <c r="S29" s="4">
        <f t="shared" si="27"/>
        <v>859.64912280701753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2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9</v>
      </c>
      <c r="P30" s="4">
        <f t="shared" si="26"/>
        <v>111.1111111111111</v>
      </c>
      <c r="Q30" s="1">
        <f>SUMIF(Preliminary!AE:AE,C30,Preliminary!AL:AL)+SUMIF(Preliminary!AO:AO,C30,Preliminary!AV:AV)</f>
        <v>188</v>
      </c>
      <c r="R30" s="1">
        <f>SUMIF(Preliminary!AE:AE,C30,Preliminary!AM:AM)+SUMIF(Preliminary!AO:AO,C30,Preliminary!AW:AW)</f>
        <v>248</v>
      </c>
      <c r="S30" s="4">
        <f t="shared" si="27"/>
        <v>758.0645161290322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8</v>
      </c>
      <c r="E31" s="1">
        <f t="shared" si="25"/>
        <v>3</v>
      </c>
      <c r="F31" s="1">
        <f>COUNTIF(Preliminary!AE:AE,Dummy!C31)</f>
        <v>3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9</v>
      </c>
      <c r="O31" s="1">
        <f>SUMIF(Preliminary!AE:AE,C31,Preliminary!AH:AH)+SUMIF(Preliminary!AO:AO,C31,Preliminary!AR:AR)</f>
        <v>3</v>
      </c>
      <c r="P31" s="4">
        <f t="shared" si="26"/>
        <v>3000</v>
      </c>
      <c r="Q31" s="1">
        <f>SUMIF(Preliminary!AE:AE,C31,Preliminary!AL:AL)+SUMIF(Preliminary!AO:AO,C31,Preliminary!AV:AV)</f>
        <v>289</v>
      </c>
      <c r="R31" s="1">
        <f>SUMIF(Preliminary!AE:AE,C31,Preliminary!AM:AM)+SUMIF(Preliminary!AO:AO,C31,Preliminary!AW:AW)</f>
        <v>258</v>
      </c>
      <c r="S31" s="4">
        <f t="shared" si="27"/>
        <v>1120.1550387596899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1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7</v>
      </c>
      <c r="O32" s="1">
        <f>SUMIF(Preliminary!AE:AE,C32,Preliminary!AH:AH)+SUMIF(Preliminary!AO:AO,C32,Preliminary!AR:AR)</f>
        <v>3</v>
      </c>
      <c r="P32" s="4">
        <f t="shared" si="26"/>
        <v>2333.3333333333335</v>
      </c>
      <c r="Q32" s="1">
        <f>SUMIF(Preliminary!AE:AE,C32,Preliminary!AL:AL)+SUMIF(Preliminary!AO:AO,C32,Preliminary!AV:AV)</f>
        <v>244</v>
      </c>
      <c r="R32" s="1">
        <f>SUMIF(Preliminary!AE:AE,C32,Preliminary!AM:AM)+SUMIF(Preliminary!AO:AO,C32,Preliminary!AW:AW)</f>
        <v>204</v>
      </c>
      <c r="S32" s="4">
        <f t="shared" si="27"/>
        <v>1196.0784313725489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4</v>
      </c>
      <c r="E33" s="1">
        <f t="shared" si="25"/>
        <v>3</v>
      </c>
      <c r="F33" s="1">
        <f>COUNTIF(Preliminary!AE:AE,Dummy!C33)</f>
        <v>1</v>
      </c>
      <c r="G33" s="1">
        <f>COUNTIF(Preliminary!AO:AO,Dummy!C33)</f>
        <v>2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5</v>
      </c>
      <c r="O33" s="1">
        <f>SUMIF(Preliminary!AE:AE,C33,Preliminary!AH:AH)+SUMIF(Preliminary!AO:AO,C33,Preliminary!AR:AR)</f>
        <v>6</v>
      </c>
      <c r="P33" s="4">
        <f t="shared" si="26"/>
        <v>833.33333333333337</v>
      </c>
      <c r="Q33" s="1">
        <f>SUMIF(Preliminary!AE:AE,C33,Preliminary!AL:AL)+SUMIF(Preliminary!AO:AO,C33,Preliminary!AV:AV)</f>
        <v>239</v>
      </c>
      <c r="R33" s="1">
        <f>SUMIF(Preliminary!AE:AE,C33,Preliminary!AM:AM)+SUMIF(Preliminary!AO:AO,C33,Preliminary!AW:AW)</f>
        <v>244</v>
      </c>
      <c r="S33" s="4">
        <f t="shared" si="27"/>
        <v>979.50819672131149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3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9</v>
      </c>
      <c r="P34" s="4">
        <f t="shared" si="26"/>
        <v>0</v>
      </c>
      <c r="Q34" s="1">
        <f>SUMIF(Preliminary!AE:AE,C34,Preliminary!AL:AL)+SUMIF(Preliminary!AO:AO,C34,Preliminary!AV:AV)</f>
        <v>159</v>
      </c>
      <c r="R34" s="1">
        <f>SUMIF(Preliminary!AE:AE,C34,Preliminary!AM:AM)+SUMIF(Preliminary!AO:AO,C34,Preliminary!AW:AW)</f>
        <v>225</v>
      </c>
      <c r="S34" s="4">
        <f t="shared" si="27"/>
        <v>706.66666666666663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5.85546875" style="12" hidden="1" customWidth="1"/>
    <col min="30" max="30" width="6.28515625" style="12" hidden="1" customWidth="1"/>
    <col min="31" max="31" width="19.855468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9" style="12" hidden="1" customWidth="1"/>
    <col min="41" max="41" width="19.855468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71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93</v>
      </c>
      <c r="AY5" s="73"/>
      <c r="AZ5" s="74"/>
      <c r="BA5" s="72" t="s">
        <v>94</v>
      </c>
      <c r="BB5" s="73"/>
      <c r="BC5" s="74"/>
      <c r="BD5" s="72" t="s">
        <v>95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96</v>
      </c>
      <c r="BN5" s="73"/>
      <c r="BO5" s="74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Netherlands</v>
      </c>
      <c r="AZ7" s="50">
        <f>VLOOKUP($AX7,Dummy!$B$3:$S$6,3,FALSE)</f>
        <v>7</v>
      </c>
      <c r="BA7" s="50">
        <f>VLOOKUP($AX7,Dummy!$B$3:$S$6,4,FALSE)</f>
        <v>3</v>
      </c>
      <c r="BB7" s="50">
        <f>VLOOKUP($AX7,Dummy!$B$3:$S$6,5,FALSE)</f>
        <v>3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2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9</v>
      </c>
      <c r="BK7" s="50">
        <f>VLOOKUP($AX7,Dummy!$B$3:$S$6,14,FALSE)</f>
        <v>4</v>
      </c>
      <c r="BL7" s="52">
        <f>VLOOKUP($AX7,Dummy!$B$3:$S$6,15,FALSE)</f>
        <v>2250</v>
      </c>
      <c r="BM7" s="50">
        <f>VLOOKUP($AX7,Dummy!$B$3:$S$6,16,FALSE)</f>
        <v>298</v>
      </c>
      <c r="BN7" s="50">
        <f>VLOOKUP($AX7,Dummy!$B$3:$S$6,17,FALSE)</f>
        <v>225</v>
      </c>
      <c r="BO7" s="52">
        <f>VLOOKUP($AX7,Dummy!$B$3:$S$6,18,FALSE)</f>
        <v>1324.4444444444446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Thailand</v>
      </c>
      <c r="AZ8" s="50">
        <f>VLOOKUP($AX8,Dummy!$B$3:$S$6,3,FALSE)</f>
        <v>7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1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1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8</v>
      </c>
      <c r="BK8" s="50">
        <f>VLOOKUP($AX8,Dummy!$B$3:$S$6,14,FALSE)</f>
        <v>4</v>
      </c>
      <c r="BL8" s="52">
        <f>VLOOKUP($AX8,Dummy!$B$3:$S$6,15,FALSE)</f>
        <v>2000</v>
      </c>
      <c r="BM8" s="50">
        <f>VLOOKUP($AX8,Dummy!$B$3:$S$6,16,FALSE)</f>
        <v>264</v>
      </c>
      <c r="BN8" s="50">
        <f>VLOOKUP($AX8,Dummy!$B$3:$S$6,17,FALSE)</f>
        <v>238</v>
      </c>
      <c r="BO8" s="52">
        <f>VLOOKUP($AX8,Dummy!$B$3:$S$6,18,FALSE)</f>
        <v>1109.2436974789916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254</v>
      </c>
      <c r="BN9" s="50">
        <f>VLOOKUP($AX9,Dummy!$B$3:$S$6,17,FALSE)</f>
        <v>268</v>
      </c>
      <c r="BO9" s="52">
        <f>VLOOKUP($AX9,Dummy!$B$3:$S$6,18,FALSE)</f>
        <v>947.76119402985069</v>
      </c>
    </row>
    <row r="10" spans="2:67" x14ac:dyDescent="0.25">
      <c r="B10" s="23">
        <v>45895</v>
      </c>
      <c r="C10" s="24" t="str">
        <f>AB8</f>
        <v> Sweden</v>
      </c>
      <c r="D10" s="48">
        <v>3</v>
      </c>
      <c r="E10" s="49" t="s">
        <v>0</v>
      </c>
      <c r="F10" s="47">
        <v>1</v>
      </c>
      <c r="G10" s="25" t="str">
        <f>AB9</f>
        <v> Egypt</v>
      </c>
      <c r="H10" s="28">
        <v>25</v>
      </c>
      <c r="I10" s="29" t="s">
        <v>0</v>
      </c>
      <c r="J10" s="30">
        <v>18</v>
      </c>
      <c r="K10" s="28">
        <v>26</v>
      </c>
      <c r="L10" s="29" t="s">
        <v>0</v>
      </c>
      <c r="M10" s="30">
        <v>28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16</v>
      </c>
      <c r="T10" s="28"/>
      <c r="U10" s="29" t="s">
        <v>0</v>
      </c>
      <c r="V10" s="30"/>
      <c r="W10" s="31">
        <f t="shared" si="0"/>
        <v>101</v>
      </c>
      <c r="X10" s="29" t="s">
        <v>0</v>
      </c>
      <c r="Y10" s="32">
        <f t="shared" si="1"/>
        <v>82</v>
      </c>
      <c r="AD10" s="12">
        <f t="shared" si="2"/>
        <v>4</v>
      </c>
      <c r="AE10" s="12" t="str">
        <f t="shared" si="3"/>
        <v> Sweden</v>
      </c>
      <c r="AF10" s="12">
        <f t="shared" si="4"/>
        <v>1</v>
      </c>
      <c r="AG10" s="12">
        <f t="shared" si="5"/>
        <v>3</v>
      </c>
      <c r="AH10" s="12">
        <f t="shared" si="6"/>
        <v>1</v>
      </c>
      <c r="AI10" s="12">
        <f t="shared" si="7"/>
        <v>0</v>
      </c>
      <c r="AJ10" s="12">
        <f t="shared" si="8"/>
        <v>1</v>
      </c>
      <c r="AK10" s="12">
        <f t="shared" si="9"/>
        <v>0</v>
      </c>
      <c r="AL10" s="12">
        <f t="shared" si="10"/>
        <v>101</v>
      </c>
      <c r="AM10" s="12">
        <f t="shared" si="11"/>
        <v>82</v>
      </c>
      <c r="AO10" s="12" t="str">
        <f t="shared" si="12"/>
        <v> Egypt</v>
      </c>
      <c r="AP10" s="12">
        <f t="shared" si="13"/>
        <v>1</v>
      </c>
      <c r="AQ10" s="12">
        <f t="shared" si="14"/>
        <v>1</v>
      </c>
      <c r="AR10" s="12">
        <f t="shared" si="15"/>
        <v>3</v>
      </c>
      <c r="AS10" s="12">
        <f t="shared" si="16"/>
        <v>0</v>
      </c>
      <c r="AT10" s="12">
        <f t="shared" si="17"/>
        <v>1</v>
      </c>
      <c r="AU10" s="12">
        <f t="shared" si="18"/>
        <v>0</v>
      </c>
      <c r="AV10" s="12">
        <f t="shared" si="19"/>
        <v>82</v>
      </c>
      <c r="AW10" s="12">
        <f t="shared" si="20"/>
        <v>101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3</v>
      </c>
      <c r="BB10" s="50">
        <f>VLOOKUP($AX10,Dummy!$B$3:$S$6,5,FALSE)</f>
        <v>0</v>
      </c>
      <c r="BC10" s="50">
        <f>VLOOKUP($AX10,Dummy!$B$3:$S$6,6,FALSE)</f>
        <v>3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2</v>
      </c>
      <c r="BI10" s="50">
        <f>VLOOKUP($AX10,Dummy!$B$3:$S$6,12,FALSE)</f>
        <v>1</v>
      </c>
      <c r="BJ10" s="50">
        <f>VLOOKUP($AX10,Dummy!$B$3:$S$6,13,FALSE)</f>
        <v>2</v>
      </c>
      <c r="BK10" s="50">
        <f>VLOOKUP($AX10,Dummy!$B$3:$S$6,14,FALSE)</f>
        <v>9</v>
      </c>
      <c r="BL10" s="52">
        <f>VLOOKUP($AX10,Dummy!$B$3:$S$6,15,FALSE)</f>
        <v>222.2222222222222</v>
      </c>
      <c r="BM10" s="50">
        <f>VLOOKUP($AX10,Dummy!$B$3:$S$6,16,FALSE)</f>
        <v>189</v>
      </c>
      <c r="BN10" s="50">
        <f>VLOOKUP($AX10,Dummy!$B$3:$S$6,17,FALSE)</f>
        <v>274</v>
      </c>
      <c r="BO10" s="52">
        <f>VLOOKUP($AX10,Dummy!$B$3:$S$6,18,FALSE)</f>
        <v>689.78102189781021</v>
      </c>
    </row>
    <row r="11" spans="2:67" x14ac:dyDescent="0.25">
      <c r="B11" s="23">
        <v>45895</v>
      </c>
      <c r="C11" s="24" t="str">
        <f>AB6</f>
        <v> Thailand</v>
      </c>
      <c r="D11" s="48">
        <v>2</v>
      </c>
      <c r="E11" s="49" t="s">
        <v>0</v>
      </c>
      <c r="F11" s="47">
        <v>3</v>
      </c>
      <c r="G11" s="25" t="str">
        <f>AB7</f>
        <v> Netherlands</v>
      </c>
      <c r="H11" s="28">
        <v>25</v>
      </c>
      <c r="I11" s="29" t="s">
        <v>0</v>
      </c>
      <c r="J11" s="30">
        <v>23</v>
      </c>
      <c r="K11" s="28">
        <v>17</v>
      </c>
      <c r="L11" s="29" t="s">
        <v>0</v>
      </c>
      <c r="M11" s="30">
        <v>25</v>
      </c>
      <c r="N11" s="28">
        <v>25</v>
      </c>
      <c r="O11" s="29" t="s">
        <v>0</v>
      </c>
      <c r="P11" s="30">
        <v>23</v>
      </c>
      <c r="Q11" s="28">
        <v>10</v>
      </c>
      <c r="R11" s="29" t="s">
        <v>0</v>
      </c>
      <c r="S11" s="30">
        <v>25</v>
      </c>
      <c r="T11" s="28">
        <v>14</v>
      </c>
      <c r="U11" s="29" t="s">
        <v>0</v>
      </c>
      <c r="V11" s="30">
        <v>16</v>
      </c>
      <c r="W11" s="31">
        <f t="shared" si="0"/>
        <v>91</v>
      </c>
      <c r="X11" s="29" t="s">
        <v>0</v>
      </c>
      <c r="Y11" s="32">
        <f t="shared" si="1"/>
        <v>112</v>
      </c>
      <c r="AD11" s="12">
        <f t="shared" si="2"/>
        <v>5</v>
      </c>
      <c r="AE11" s="12" t="str">
        <f t="shared" si="3"/>
        <v> Netherlands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112</v>
      </c>
      <c r="AM11" s="12">
        <f t="shared" si="11"/>
        <v>91</v>
      </c>
      <c r="AO11" s="12" t="str">
        <f t="shared" si="12"/>
        <v> Thailand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91</v>
      </c>
      <c r="AW11" s="12">
        <f t="shared" si="20"/>
        <v>112</v>
      </c>
      <c r="BA11" s="26">
        <f>SUM(BA7:BA10)</f>
        <v>12</v>
      </c>
    </row>
    <row r="12" spans="2:67" ht="15" customHeight="1" x14ac:dyDescent="0.25">
      <c r="B12" s="76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86</v>
      </c>
      <c r="C13" s="21"/>
      <c r="D13" s="60" t="s">
        <v>87</v>
      </c>
      <c r="E13" s="60"/>
      <c r="F13" s="60"/>
      <c r="G13" s="22"/>
      <c r="H13" s="61" t="s">
        <v>88</v>
      </c>
      <c r="I13" s="59"/>
      <c r="J13" s="59"/>
      <c r="K13" s="61" t="s">
        <v>89</v>
      </c>
      <c r="L13" s="59"/>
      <c r="M13" s="59"/>
      <c r="N13" s="61" t="s">
        <v>90</v>
      </c>
      <c r="O13" s="59"/>
      <c r="P13" s="59"/>
      <c r="Q13" s="61" t="s">
        <v>91</v>
      </c>
      <c r="R13" s="59"/>
      <c r="S13" s="59"/>
      <c r="T13" s="61" t="s">
        <v>92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93</v>
      </c>
      <c r="AY13" s="70"/>
      <c r="AZ13" s="71"/>
      <c r="BA13" s="69" t="s">
        <v>94</v>
      </c>
      <c r="BB13" s="70"/>
      <c r="BC13" s="71"/>
      <c r="BD13" s="69" t="s">
        <v>95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96</v>
      </c>
      <c r="BN13" s="70"/>
      <c r="BO13" s="71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246</v>
      </c>
      <c r="BN15" s="50">
        <f>VLOOKUP($AX15,Dummy!$B$7:$S$10,17,FALSE)</f>
        <v>157</v>
      </c>
      <c r="BO15" s="52">
        <f>VLOOKUP($AX15,Dummy!$B$7:$S$10,18,FALSE)</f>
        <v>1566.8789808917199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3</v>
      </c>
      <c r="BL16" s="52">
        <f>VLOOKUP($AX16,Dummy!$B$7:$S$10,15,FALSE)</f>
        <v>2333.3333333333335</v>
      </c>
      <c r="BM16" s="50">
        <f>VLOOKUP($AX16,Dummy!$B$7:$S$10,16,FALSE)</f>
        <v>225</v>
      </c>
      <c r="BN16" s="50">
        <f>VLOOKUP($AX16,Dummy!$B$7:$S$10,17,FALSE)</f>
        <v>198</v>
      </c>
      <c r="BO16" s="52">
        <f>VLOOKUP($AX16,Dummy!$B$7:$S$10,18,FALSE)</f>
        <v>1136.3636363636365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3</v>
      </c>
      <c r="BK17" s="50">
        <f>VLOOKUP($AX17,Dummy!$B$7:$S$10,14,FALSE)</f>
        <v>7</v>
      </c>
      <c r="BL17" s="52">
        <f>VLOOKUP($AX17,Dummy!$B$7:$S$10,15,FALSE)</f>
        <v>428.57142857142856</v>
      </c>
      <c r="BM17" s="50">
        <f>VLOOKUP($AX17,Dummy!$B$7:$S$10,16,FALSE)</f>
        <v>181</v>
      </c>
      <c r="BN17" s="50">
        <f>VLOOKUP($AX17,Dummy!$B$7:$S$10,17,FALSE)</f>
        <v>245</v>
      </c>
      <c r="BO17" s="52">
        <f>VLOOKUP($AX17,Dummy!$B$7:$S$10,18,FALSE)</f>
        <v>738.77551020408157</v>
      </c>
    </row>
    <row r="18" spans="2:67" x14ac:dyDescent="0.25">
      <c r="B18" s="11">
        <v>45895</v>
      </c>
      <c r="C18" s="6" t="str">
        <f>AB16</f>
        <v> Cuba</v>
      </c>
      <c r="D18" s="48">
        <v>3</v>
      </c>
      <c r="E18" s="49" t="s">
        <v>0</v>
      </c>
      <c r="F18" s="47">
        <v>1</v>
      </c>
      <c r="G18" s="5" t="str">
        <f>AB17</f>
        <v> Slovakia</v>
      </c>
      <c r="H18" s="28">
        <v>27</v>
      </c>
      <c r="I18" s="29" t="s">
        <v>0</v>
      </c>
      <c r="J18" s="30">
        <v>25</v>
      </c>
      <c r="K18" s="28">
        <v>25</v>
      </c>
      <c r="L18" s="29" t="s">
        <v>0</v>
      </c>
      <c r="M18" s="30">
        <v>21</v>
      </c>
      <c r="N18" s="28">
        <v>22</v>
      </c>
      <c r="O18" s="29" t="s">
        <v>0</v>
      </c>
      <c r="P18" s="30">
        <v>25</v>
      </c>
      <c r="Q18" s="28">
        <v>26</v>
      </c>
      <c r="R18" s="29" t="s">
        <v>0</v>
      </c>
      <c r="S18" s="30">
        <v>24</v>
      </c>
      <c r="T18" s="28"/>
      <c r="U18" s="29" t="s">
        <v>0</v>
      </c>
      <c r="V18" s="30"/>
      <c r="W18" s="31">
        <f t="shared" si="40"/>
        <v>100</v>
      </c>
      <c r="X18" s="29" t="s">
        <v>0</v>
      </c>
      <c r="Y18" s="32">
        <f t="shared" si="41"/>
        <v>95</v>
      </c>
      <c r="AD18" s="12">
        <f t="shared" si="21"/>
        <v>4</v>
      </c>
      <c r="AE18" s="12" t="str">
        <f t="shared" si="22"/>
        <v> Cuba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100</v>
      </c>
      <c r="AM18" s="12">
        <f t="shared" si="30"/>
        <v>95</v>
      </c>
      <c r="AO18" s="12" t="str">
        <f t="shared" si="31"/>
        <v> Slovakia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95</v>
      </c>
      <c r="AW18" s="12">
        <f t="shared" si="39"/>
        <v>100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198</v>
      </c>
      <c r="BN18" s="50">
        <f>VLOOKUP($AX18,Dummy!$B$7:$S$10,17,FALSE)</f>
        <v>250</v>
      </c>
      <c r="BO18" s="52">
        <f>VLOOKUP($AX18,Dummy!$B$7:$S$10,18,FALSE)</f>
        <v>792</v>
      </c>
    </row>
    <row r="19" spans="2:67" x14ac:dyDescent="0.25">
      <c r="B19" s="11">
        <v>45895</v>
      </c>
      <c r="C19" s="6" t="str">
        <f>AB14</f>
        <v> Italy</v>
      </c>
      <c r="D19" s="48">
        <v>3</v>
      </c>
      <c r="E19" s="49" t="s">
        <v>0</v>
      </c>
      <c r="F19" s="47">
        <v>1</v>
      </c>
      <c r="G19" s="5" t="str">
        <f>AB15</f>
        <v> Belgium</v>
      </c>
      <c r="H19" s="28">
        <v>25</v>
      </c>
      <c r="I19" s="29" t="s">
        <v>0</v>
      </c>
      <c r="J19" s="30">
        <v>16</v>
      </c>
      <c r="K19" s="28">
        <v>25</v>
      </c>
      <c r="L19" s="29" t="s">
        <v>0</v>
      </c>
      <c r="M19" s="30">
        <v>16</v>
      </c>
      <c r="N19" s="28">
        <v>21</v>
      </c>
      <c r="O19" s="29" t="s">
        <v>0</v>
      </c>
      <c r="P19" s="30">
        <v>25</v>
      </c>
      <c r="Q19" s="28">
        <v>25</v>
      </c>
      <c r="R19" s="29" t="s">
        <v>0</v>
      </c>
      <c r="S19" s="30">
        <v>18</v>
      </c>
      <c r="T19" s="28"/>
      <c r="U19" s="29" t="s">
        <v>0</v>
      </c>
      <c r="V19" s="30"/>
      <c r="W19" s="31">
        <f t="shared" si="40"/>
        <v>96</v>
      </c>
      <c r="X19" s="29" t="s">
        <v>0</v>
      </c>
      <c r="Y19" s="32">
        <f t="shared" si="41"/>
        <v>75</v>
      </c>
      <c r="AD19" s="12">
        <f t="shared" si="21"/>
        <v>4</v>
      </c>
      <c r="AE19" s="12" t="str">
        <f t="shared" si="22"/>
        <v> Italy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96</v>
      </c>
      <c r="AM19" s="12">
        <f t="shared" si="30"/>
        <v>75</v>
      </c>
      <c r="AO19" s="12" t="str">
        <f t="shared" si="31"/>
        <v> Belgium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75</v>
      </c>
      <c r="AW19" s="12">
        <f t="shared" si="39"/>
        <v>96</v>
      </c>
      <c r="BA19" s="26">
        <f>SUM(BA15:BA18)</f>
        <v>12</v>
      </c>
    </row>
    <row r="20" spans="2:67" ht="15" customHeight="1" x14ac:dyDescent="0.25">
      <c r="B20" s="76" t="s">
        <v>73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86</v>
      </c>
      <c r="C21" s="21"/>
      <c r="D21" s="60" t="s">
        <v>87</v>
      </c>
      <c r="E21" s="60"/>
      <c r="F21" s="60"/>
      <c r="G21" s="22"/>
      <c r="H21" s="61" t="s">
        <v>88</v>
      </c>
      <c r="I21" s="59"/>
      <c r="J21" s="59"/>
      <c r="K21" s="61" t="s">
        <v>89</v>
      </c>
      <c r="L21" s="59"/>
      <c r="M21" s="59"/>
      <c r="N21" s="61" t="s">
        <v>90</v>
      </c>
      <c r="O21" s="59"/>
      <c r="P21" s="59"/>
      <c r="Q21" s="61" t="s">
        <v>91</v>
      </c>
      <c r="R21" s="59"/>
      <c r="S21" s="59"/>
      <c r="T21" s="61" t="s">
        <v>92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93</v>
      </c>
      <c r="AY21" s="70"/>
      <c r="AZ21" s="71"/>
      <c r="BA21" s="69" t="s">
        <v>94</v>
      </c>
      <c r="BB21" s="70"/>
      <c r="BC21" s="71"/>
      <c r="BD21" s="69" t="s">
        <v>95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96</v>
      </c>
      <c r="BN21" s="70"/>
      <c r="BO21" s="71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8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2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2</v>
      </c>
      <c r="BL23" s="52">
        <f>VLOOKUP($AX23,Dummy!$B$11:$S$14,15,FALSE)</f>
        <v>4500</v>
      </c>
      <c r="BM23" s="50">
        <f>VLOOKUP($AX23,Dummy!$B$11:$S$14,16,FALSE)</f>
        <v>256</v>
      </c>
      <c r="BN23" s="50">
        <f>VLOOKUP($AX23,Dummy!$B$11:$S$14,17,FALSE)</f>
        <v>195</v>
      </c>
      <c r="BO23" s="52">
        <f>VLOOKUP($AX23,Dummy!$B$11:$S$14,18,FALSE)</f>
        <v>1312.8205128205129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7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2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5</v>
      </c>
      <c r="BL24" s="52">
        <f>VLOOKUP($AX24,Dummy!$B$11:$S$14,15,FALSE)</f>
        <v>1600</v>
      </c>
      <c r="BM24" s="50">
        <f>VLOOKUP($AX24,Dummy!$B$11:$S$14,16,FALSE)</f>
        <v>286</v>
      </c>
      <c r="BN24" s="50">
        <f>VLOOKUP($AX24,Dummy!$B$11:$S$14,17,FALSE)</f>
        <v>274</v>
      </c>
      <c r="BO24" s="52">
        <f>VLOOKUP($AX24,Dummy!$B$11:$S$14,18,FALSE)</f>
        <v>1043.7956204379561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1</v>
      </c>
      <c r="BJ25" s="50">
        <f>VLOOKUP($AX25,Dummy!$B$11:$S$14,13,FALSE)</f>
        <v>4</v>
      </c>
      <c r="BK25" s="50">
        <f>VLOOKUP($AX25,Dummy!$B$11:$S$14,14,FALSE)</f>
        <v>7</v>
      </c>
      <c r="BL25" s="52">
        <f>VLOOKUP($AX25,Dummy!$B$11:$S$14,15,FALSE)</f>
        <v>571.42857142857144</v>
      </c>
      <c r="BM25" s="50">
        <f>VLOOKUP($AX25,Dummy!$B$11:$S$14,16,FALSE)</f>
        <v>237</v>
      </c>
      <c r="BN25" s="50">
        <f>VLOOKUP($AX25,Dummy!$B$11:$S$14,17,FALSE)</f>
        <v>241</v>
      </c>
      <c r="BO25" s="52">
        <f>VLOOKUP($AX25,Dummy!$B$11:$S$14,18,FALSE)</f>
        <v>983.40248962655596</v>
      </c>
    </row>
    <row r="26" spans="2:67" x14ac:dyDescent="0.25">
      <c r="B26" s="23">
        <v>45895</v>
      </c>
      <c r="C26" s="24" t="str">
        <f>AB24</f>
        <v> France</v>
      </c>
      <c r="D26" s="48">
        <v>3</v>
      </c>
      <c r="E26" s="49" t="s">
        <v>0</v>
      </c>
      <c r="F26" s="47">
        <v>1</v>
      </c>
      <c r="G26" s="25" t="str">
        <f>AB25</f>
        <v> Greece</v>
      </c>
      <c r="H26" s="28">
        <v>17</v>
      </c>
      <c r="I26" s="29" t="s">
        <v>0</v>
      </c>
      <c r="J26" s="30">
        <v>25</v>
      </c>
      <c r="K26" s="28">
        <v>25</v>
      </c>
      <c r="L26" s="29" t="s">
        <v>0</v>
      </c>
      <c r="M26" s="30">
        <v>21</v>
      </c>
      <c r="N26" s="28">
        <v>28</v>
      </c>
      <c r="O26" s="29" t="s">
        <v>0</v>
      </c>
      <c r="P26" s="30">
        <v>26</v>
      </c>
      <c r="Q26" s="28">
        <v>25</v>
      </c>
      <c r="R26" s="29" t="s">
        <v>0</v>
      </c>
      <c r="S26" s="30">
        <v>17</v>
      </c>
      <c r="T26" s="28"/>
      <c r="U26" s="29" t="s">
        <v>0</v>
      </c>
      <c r="V26" s="30"/>
      <c r="W26" s="31">
        <f t="shared" si="61"/>
        <v>95</v>
      </c>
      <c r="X26" s="29" t="s">
        <v>0</v>
      </c>
      <c r="Y26" s="32">
        <f t="shared" si="62"/>
        <v>89</v>
      </c>
      <c r="AD26" s="12">
        <f t="shared" si="21"/>
        <v>4</v>
      </c>
      <c r="AE26" s="12" t="str">
        <f t="shared" si="43"/>
        <v> France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95</v>
      </c>
      <c r="AM26" s="12">
        <f t="shared" si="51"/>
        <v>89</v>
      </c>
      <c r="AO26" s="12" t="str">
        <f t="shared" si="52"/>
        <v> Greece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89</v>
      </c>
      <c r="AW26" s="12">
        <f t="shared" si="60"/>
        <v>95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200</v>
      </c>
      <c r="BN26" s="50">
        <f>VLOOKUP($AX26,Dummy!$B$11:$S$14,17,FALSE)</f>
        <v>269</v>
      </c>
      <c r="BO26" s="52">
        <f>VLOOKUP($AX26,Dummy!$B$11:$S$14,18,FALSE)</f>
        <v>743.49442379182153</v>
      </c>
    </row>
    <row r="27" spans="2:67" x14ac:dyDescent="0.25">
      <c r="B27" s="23">
        <v>45895</v>
      </c>
      <c r="C27" s="24" t="str">
        <f>AB22</f>
        <v> Brazil</v>
      </c>
      <c r="D27" s="48">
        <v>3</v>
      </c>
      <c r="E27" s="49" t="s">
        <v>0</v>
      </c>
      <c r="F27" s="47">
        <v>0</v>
      </c>
      <c r="G27" s="25" t="str">
        <f>AB23</f>
        <v> Puerto Rico</v>
      </c>
      <c r="H27" s="28">
        <v>25</v>
      </c>
      <c r="I27" s="29" t="s">
        <v>0</v>
      </c>
      <c r="J27" s="30">
        <v>19</v>
      </c>
      <c r="K27" s="28">
        <v>25</v>
      </c>
      <c r="L27" s="29" t="s">
        <v>0</v>
      </c>
      <c r="M27" s="30">
        <v>13</v>
      </c>
      <c r="N27" s="28">
        <v>25</v>
      </c>
      <c r="O27" s="29" t="s">
        <v>0</v>
      </c>
      <c r="P27" s="30">
        <v>18</v>
      </c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75</v>
      </c>
      <c r="X27" s="29" t="s">
        <v>0</v>
      </c>
      <c r="Y27" s="32">
        <f t="shared" si="62"/>
        <v>50</v>
      </c>
      <c r="AD27" s="12">
        <f t="shared" si="21"/>
        <v>3</v>
      </c>
      <c r="AE27" s="12" t="str">
        <f t="shared" si="43"/>
        <v> Brazil</v>
      </c>
      <c r="AF27" s="12">
        <f t="shared" si="44"/>
        <v>1</v>
      </c>
      <c r="AG27" s="12">
        <f t="shared" si="45"/>
        <v>3</v>
      </c>
      <c r="AH27" s="12">
        <f t="shared" si="46"/>
        <v>0</v>
      </c>
      <c r="AI27" s="12">
        <f t="shared" si="47"/>
        <v>1</v>
      </c>
      <c r="AJ27" s="12">
        <f t="shared" si="48"/>
        <v>0</v>
      </c>
      <c r="AK27" s="12">
        <f t="shared" si="49"/>
        <v>0</v>
      </c>
      <c r="AL27" s="12">
        <f t="shared" si="50"/>
        <v>75</v>
      </c>
      <c r="AM27" s="12">
        <f t="shared" si="51"/>
        <v>50</v>
      </c>
      <c r="AO27" s="12" t="str">
        <f t="shared" si="52"/>
        <v> Puerto Rico</v>
      </c>
      <c r="AP27" s="12">
        <f t="shared" si="53"/>
        <v>1</v>
      </c>
      <c r="AQ27" s="12">
        <f t="shared" si="54"/>
        <v>0</v>
      </c>
      <c r="AR27" s="12">
        <f t="shared" si="55"/>
        <v>3</v>
      </c>
      <c r="AS27" s="12">
        <f t="shared" si="56"/>
        <v>0</v>
      </c>
      <c r="AT27" s="12">
        <f t="shared" si="57"/>
        <v>0</v>
      </c>
      <c r="AU27" s="12">
        <f t="shared" si="58"/>
        <v>1</v>
      </c>
      <c r="AV27" s="12">
        <f t="shared" si="59"/>
        <v>50</v>
      </c>
      <c r="AW27" s="12">
        <f t="shared" si="60"/>
        <v>75</v>
      </c>
      <c r="BA27" s="26">
        <f>SUM(BA23:BA26)</f>
        <v>12</v>
      </c>
    </row>
    <row r="28" spans="2:67" ht="15" customHeight="1" x14ac:dyDescent="0.25">
      <c r="B28" s="76" t="s">
        <v>74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86</v>
      </c>
      <c r="C29" s="21"/>
      <c r="D29" s="60" t="s">
        <v>87</v>
      </c>
      <c r="E29" s="60"/>
      <c r="F29" s="60"/>
      <c r="G29" s="22"/>
      <c r="H29" s="61" t="s">
        <v>88</v>
      </c>
      <c r="I29" s="59"/>
      <c r="J29" s="59"/>
      <c r="K29" s="61" t="s">
        <v>89</v>
      </c>
      <c r="L29" s="59"/>
      <c r="M29" s="59"/>
      <c r="N29" s="61" t="s">
        <v>90</v>
      </c>
      <c r="O29" s="59"/>
      <c r="P29" s="59"/>
      <c r="Q29" s="61" t="s">
        <v>91</v>
      </c>
      <c r="R29" s="59"/>
      <c r="S29" s="59"/>
      <c r="T29" s="61" t="s">
        <v>92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93</v>
      </c>
      <c r="AY29" s="70"/>
      <c r="AZ29" s="71"/>
      <c r="BA29" s="69" t="s">
        <v>94</v>
      </c>
      <c r="BB29" s="70"/>
      <c r="BC29" s="71"/>
      <c r="BD29" s="69" t="s">
        <v>95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96</v>
      </c>
      <c r="BN29" s="70"/>
      <c r="BO29" s="71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1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2</v>
      </c>
      <c r="BL31" s="52">
        <f>VLOOKUP($AX31,Dummy!$B$15:$S$18,15,FALSE)</f>
        <v>4500</v>
      </c>
      <c r="BM31" s="50">
        <f>VLOOKUP($AX31,Dummy!$B$15:$S$18,16,FALSE)</f>
        <v>266</v>
      </c>
      <c r="BN31" s="50">
        <f>VLOOKUP($AX31,Dummy!$B$15:$S$18,17,FALSE)</f>
        <v>211</v>
      </c>
      <c r="BO31" s="52">
        <f>VLOOKUP($AX31,Dummy!$B$15:$S$18,18,FALSE)</f>
        <v>1260.6635071090047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Slovenia</v>
      </c>
      <c r="AZ32" s="50">
        <f>VLOOKUP($AX32,Dummy!$B$15:$S$18,3,FALSE)</f>
        <v>4</v>
      </c>
      <c r="BA32" s="50">
        <f>VLOOKUP($AX32,Dummy!$B$15:$S$18,4,FALSE)</f>
        <v>3</v>
      </c>
      <c r="BB32" s="50">
        <f>VLOOKUP($AX32,Dummy!$B$15:$S$18,5,FALSE)</f>
        <v>1</v>
      </c>
      <c r="BC32" s="50">
        <f>VLOOKUP($AX32,Dummy!$B$15:$S$18,6,FALSE)</f>
        <v>2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1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263</v>
      </c>
      <c r="BN32" s="50">
        <f>VLOOKUP($AX32,Dummy!$B$15:$S$18,17,FALSE)</f>
        <v>261</v>
      </c>
      <c r="BO32" s="52">
        <f>VLOOKUP($AX32,Dummy!$B$15:$S$18,18,FALSE)</f>
        <v>1007.6628352490422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1</v>
      </c>
      <c r="BJ33" s="50">
        <f>VLOOKUP($AX33,Dummy!$B$15:$S$18,13,FALSE)</f>
        <v>4</v>
      </c>
      <c r="BK33" s="50">
        <f>VLOOKUP($AX33,Dummy!$B$15:$S$18,14,FALSE)</f>
        <v>7</v>
      </c>
      <c r="BL33" s="52">
        <f>VLOOKUP($AX33,Dummy!$B$15:$S$18,15,FALSE)</f>
        <v>571.42857142857144</v>
      </c>
      <c r="BM33" s="50">
        <f>VLOOKUP($AX33,Dummy!$B$15:$S$18,16,FALSE)</f>
        <v>225</v>
      </c>
      <c r="BN33" s="50">
        <f>VLOOKUP($AX33,Dummy!$B$15:$S$18,17,FALSE)</f>
        <v>262</v>
      </c>
      <c r="BO33" s="52">
        <f>VLOOKUP($AX33,Dummy!$B$15:$S$18,18,FALSE)</f>
        <v>858.77862595419856</v>
      </c>
    </row>
    <row r="34" spans="2:70" x14ac:dyDescent="0.25">
      <c r="B34" s="11">
        <v>45895</v>
      </c>
      <c r="C34" s="6" t="str">
        <f>AB32</f>
        <v> Argentina</v>
      </c>
      <c r="D34" s="48">
        <v>0</v>
      </c>
      <c r="E34" s="49" t="s">
        <v>0</v>
      </c>
      <c r="F34" s="47">
        <v>3</v>
      </c>
      <c r="G34" s="5" t="str">
        <f>AB33</f>
        <v> Slovenia</v>
      </c>
      <c r="H34" s="28">
        <v>20</v>
      </c>
      <c r="I34" s="29" t="s">
        <v>0</v>
      </c>
      <c r="J34" s="30">
        <v>25</v>
      </c>
      <c r="K34" s="28">
        <v>22</v>
      </c>
      <c r="L34" s="29" t="s">
        <v>0</v>
      </c>
      <c r="M34" s="30">
        <v>25</v>
      </c>
      <c r="N34" s="28">
        <v>21</v>
      </c>
      <c r="O34" s="29" t="s">
        <v>0</v>
      </c>
      <c r="P34" s="30">
        <v>25</v>
      </c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63</v>
      </c>
      <c r="X34" s="29" t="s">
        <v>0</v>
      </c>
      <c r="Y34" s="32">
        <f t="shared" si="64"/>
        <v>75</v>
      </c>
      <c r="AD34" s="12">
        <f t="shared" si="65"/>
        <v>3</v>
      </c>
      <c r="AE34" s="12" t="str">
        <f t="shared" si="66"/>
        <v> Slovenia</v>
      </c>
      <c r="AF34" s="12">
        <f t="shared" si="67"/>
        <v>1</v>
      </c>
      <c r="AG34" s="12">
        <f t="shared" si="68"/>
        <v>3</v>
      </c>
      <c r="AH34" s="12">
        <f t="shared" si="69"/>
        <v>0</v>
      </c>
      <c r="AI34" s="12">
        <f t="shared" si="70"/>
        <v>1</v>
      </c>
      <c r="AJ34" s="12">
        <f t="shared" si="71"/>
        <v>0</v>
      </c>
      <c r="AK34" s="12">
        <f t="shared" si="72"/>
        <v>0</v>
      </c>
      <c r="AL34" s="12">
        <f t="shared" si="73"/>
        <v>75</v>
      </c>
      <c r="AM34" s="12">
        <f t="shared" si="74"/>
        <v>63</v>
      </c>
      <c r="AO34" s="12" t="str">
        <f t="shared" si="75"/>
        <v> Argentina</v>
      </c>
      <c r="AP34" s="12">
        <f t="shared" si="76"/>
        <v>1</v>
      </c>
      <c r="AQ34" s="12">
        <f t="shared" si="77"/>
        <v>0</v>
      </c>
      <c r="AR34" s="12">
        <f t="shared" si="78"/>
        <v>3</v>
      </c>
      <c r="AS34" s="12">
        <f t="shared" si="79"/>
        <v>0</v>
      </c>
      <c r="AT34" s="12">
        <f t="shared" si="80"/>
        <v>0</v>
      </c>
      <c r="AU34" s="12">
        <f t="shared" si="81"/>
        <v>1</v>
      </c>
      <c r="AV34" s="12">
        <f t="shared" si="82"/>
        <v>63</v>
      </c>
      <c r="AW34" s="12">
        <f t="shared" si="83"/>
        <v>75</v>
      </c>
      <c r="AX34" s="50">
        <v>4</v>
      </c>
      <c r="AY34" s="51" t="str">
        <f>VLOOKUP($AX34,Dummy!$B$15:$S$18,2,FALSE)</f>
        <v> Czech Republic</v>
      </c>
      <c r="AZ34" s="50">
        <f>VLOOKUP($AX34,Dummy!$B$15:$S$18,3,FALSE)</f>
        <v>2</v>
      </c>
      <c r="BA34" s="50">
        <f>VLOOKUP($AX34,Dummy!$B$15:$S$18,4,FALSE)</f>
        <v>3</v>
      </c>
      <c r="BB34" s="50">
        <f>VLOOKUP($AX34,Dummy!$B$15:$S$18,5,FALSE)</f>
        <v>1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1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1</v>
      </c>
      <c r="BJ34" s="50">
        <f>VLOOKUP($AX34,Dummy!$B$15:$S$18,13,FALSE)</f>
        <v>4</v>
      </c>
      <c r="BK34" s="50">
        <f>VLOOKUP($AX34,Dummy!$B$15:$S$18,14,FALSE)</f>
        <v>8</v>
      </c>
      <c r="BL34" s="52">
        <f>VLOOKUP($AX34,Dummy!$B$15:$S$18,15,FALSE)</f>
        <v>500</v>
      </c>
      <c r="BM34" s="50">
        <f>VLOOKUP($AX34,Dummy!$B$15:$S$18,16,FALSE)</f>
        <v>254</v>
      </c>
      <c r="BN34" s="50">
        <f>VLOOKUP($AX34,Dummy!$B$15:$S$18,17,FALSE)</f>
        <v>274</v>
      </c>
      <c r="BO34" s="52">
        <f>VLOOKUP($AX34,Dummy!$B$15:$S$18,18,FALSE)</f>
        <v>927.00729927007296</v>
      </c>
    </row>
    <row r="35" spans="2:70" x14ac:dyDescent="0.25">
      <c r="B35" s="11">
        <v>45895</v>
      </c>
      <c r="C35" s="6" t="str">
        <f>AB30</f>
        <v> United States</v>
      </c>
      <c r="D35" s="48">
        <v>3</v>
      </c>
      <c r="E35" s="49" t="s">
        <v>0</v>
      </c>
      <c r="F35" s="47">
        <v>0</v>
      </c>
      <c r="G35" s="5" t="str">
        <f>AB31</f>
        <v> Czech Republic</v>
      </c>
      <c r="H35" s="28">
        <v>26</v>
      </c>
      <c r="I35" s="29" t="s">
        <v>0</v>
      </c>
      <c r="J35" s="30">
        <v>24</v>
      </c>
      <c r="K35" s="28">
        <v>25</v>
      </c>
      <c r="L35" s="29" t="s">
        <v>0</v>
      </c>
      <c r="M35" s="30">
        <v>20</v>
      </c>
      <c r="N35" s="28">
        <v>25</v>
      </c>
      <c r="O35" s="29" t="s">
        <v>0</v>
      </c>
      <c r="P35" s="30">
        <v>15</v>
      </c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76</v>
      </c>
      <c r="X35" s="29" t="s">
        <v>0</v>
      </c>
      <c r="Y35" s="32">
        <f t="shared" si="64"/>
        <v>59</v>
      </c>
      <c r="AD35" s="12">
        <f t="shared" si="65"/>
        <v>3</v>
      </c>
      <c r="AE35" s="12" t="str">
        <f t="shared" si="66"/>
        <v> United States</v>
      </c>
      <c r="AF35" s="12">
        <f t="shared" si="67"/>
        <v>1</v>
      </c>
      <c r="AG35" s="12">
        <f t="shared" si="68"/>
        <v>3</v>
      </c>
      <c r="AH35" s="12">
        <f t="shared" si="69"/>
        <v>0</v>
      </c>
      <c r="AI35" s="12">
        <f t="shared" si="70"/>
        <v>1</v>
      </c>
      <c r="AJ35" s="12">
        <f t="shared" si="71"/>
        <v>0</v>
      </c>
      <c r="AK35" s="12">
        <f t="shared" si="72"/>
        <v>0</v>
      </c>
      <c r="AL35" s="12">
        <f t="shared" si="73"/>
        <v>76</v>
      </c>
      <c r="AM35" s="12">
        <f t="shared" si="74"/>
        <v>59</v>
      </c>
      <c r="AO35" s="12" t="str">
        <f t="shared" si="75"/>
        <v> Czech Republic</v>
      </c>
      <c r="AP35" s="12">
        <f t="shared" si="76"/>
        <v>1</v>
      </c>
      <c r="AQ35" s="12">
        <f t="shared" si="77"/>
        <v>0</v>
      </c>
      <c r="AR35" s="12">
        <f t="shared" si="78"/>
        <v>3</v>
      </c>
      <c r="AS35" s="12">
        <f t="shared" si="79"/>
        <v>0</v>
      </c>
      <c r="AT35" s="12">
        <f t="shared" si="80"/>
        <v>0</v>
      </c>
      <c r="AU35" s="12">
        <f t="shared" si="81"/>
        <v>1</v>
      </c>
      <c r="AV35" s="12">
        <f t="shared" si="82"/>
        <v>59</v>
      </c>
      <c r="AW35" s="12">
        <f t="shared" si="83"/>
        <v>76</v>
      </c>
      <c r="BA35" s="26">
        <f>SUM(BA31:BA34)</f>
        <v>12</v>
      </c>
    </row>
    <row r="36" spans="2:70" ht="15" customHeight="1" x14ac:dyDescent="0.25">
      <c r="B36" s="76" t="s">
        <v>78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103</v>
      </c>
      <c r="BR36" s="62"/>
    </row>
    <row r="37" spans="2:70" x14ac:dyDescent="0.25">
      <c r="B37" s="20" t="s">
        <v>86</v>
      </c>
      <c r="C37" s="21"/>
      <c r="D37" s="60" t="s">
        <v>87</v>
      </c>
      <c r="E37" s="60"/>
      <c r="F37" s="60"/>
      <c r="G37" s="22"/>
      <c r="H37" s="61" t="s">
        <v>88</v>
      </c>
      <c r="I37" s="59"/>
      <c r="J37" s="59"/>
      <c r="K37" s="61" t="s">
        <v>89</v>
      </c>
      <c r="L37" s="59"/>
      <c r="M37" s="59"/>
      <c r="N37" s="61" t="s">
        <v>90</v>
      </c>
      <c r="O37" s="59"/>
      <c r="P37" s="59"/>
      <c r="Q37" s="61" t="s">
        <v>91</v>
      </c>
      <c r="R37" s="59"/>
      <c r="S37" s="59"/>
      <c r="T37" s="61" t="s">
        <v>92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93</v>
      </c>
      <c r="AY37" s="70"/>
      <c r="AZ37" s="71"/>
      <c r="BA37" s="69" t="s">
        <v>94</v>
      </c>
      <c r="BB37" s="70"/>
      <c r="BC37" s="71"/>
      <c r="BD37" s="69" t="s">
        <v>95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96</v>
      </c>
      <c r="BN37" s="70"/>
      <c r="BO37" s="71"/>
      <c r="BQ37" s="63" t="s">
        <v>41</v>
      </c>
      <c r="BR37" s="64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5" t="s">
        <v>42</v>
      </c>
      <c r="BR38" s="66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9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3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227</v>
      </c>
      <c r="BN39" s="50">
        <f>VLOOKUP($AX39,Dummy!$B$19:$S$22,17,FALSE)</f>
        <v>175</v>
      </c>
      <c r="BO39" s="52">
        <f>VLOOKUP($AX39,Dummy!$B$19:$S$22,18,FALSE)</f>
        <v>1297.1428571428571</v>
      </c>
      <c r="BQ39" s="65" t="s">
        <v>43</v>
      </c>
      <c r="BR39" s="66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1</v>
      </c>
      <c r="BJ40" s="50">
        <f>VLOOKUP($AX40,Dummy!$B$19:$S$22,13,FALSE)</f>
        <v>6</v>
      </c>
      <c r="BK40" s="50">
        <f>VLOOKUP($AX40,Dummy!$B$19:$S$22,14,FALSE)</f>
        <v>6</v>
      </c>
      <c r="BL40" s="52">
        <f>VLOOKUP($AX40,Dummy!$B$19:$S$22,15,FALSE)</f>
        <v>1000</v>
      </c>
      <c r="BM40" s="50">
        <f>VLOOKUP($AX40,Dummy!$B$19:$S$22,16,FALSE)</f>
        <v>271</v>
      </c>
      <c r="BN40" s="50">
        <f>VLOOKUP($AX40,Dummy!$B$19:$S$22,17,FALSE)</f>
        <v>264</v>
      </c>
      <c r="BO40" s="52">
        <f>VLOOKUP($AX40,Dummy!$B$19:$S$22,18,FALSE)</f>
        <v>1026.5151515151515</v>
      </c>
      <c r="BQ40" s="65" t="s">
        <v>44</v>
      </c>
      <c r="BR40" s="66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4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1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5</v>
      </c>
      <c r="BK41" s="50">
        <f>VLOOKUP($AX41,Dummy!$B$19:$S$22,14,FALSE)</f>
        <v>7</v>
      </c>
      <c r="BL41" s="52">
        <f>VLOOKUP($AX41,Dummy!$B$19:$S$22,15,FALSE)</f>
        <v>714.28571428571433</v>
      </c>
      <c r="BM41" s="50">
        <f>VLOOKUP($AX41,Dummy!$B$19:$S$22,16,FALSE)</f>
        <v>261</v>
      </c>
      <c r="BN41" s="50">
        <f>VLOOKUP($AX41,Dummy!$B$19:$S$22,17,FALSE)</f>
        <v>268</v>
      </c>
      <c r="BO41" s="52">
        <f>VLOOKUP($AX41,Dummy!$B$19:$S$22,18,FALSE)</f>
        <v>973.88059701492534</v>
      </c>
      <c r="BQ41" s="67" t="s">
        <v>45</v>
      </c>
      <c r="BR41" s="68"/>
    </row>
    <row r="42" spans="2:70" x14ac:dyDescent="0.25">
      <c r="B42" s="23">
        <v>45896</v>
      </c>
      <c r="C42" s="24" t="str">
        <f>AB40</f>
        <v> Bulgaria</v>
      </c>
      <c r="D42" s="48">
        <v>1</v>
      </c>
      <c r="E42" s="49" t="s">
        <v>0</v>
      </c>
      <c r="F42" s="47">
        <v>3</v>
      </c>
      <c r="G42" s="25" t="str">
        <f>AB41</f>
        <v> Spain</v>
      </c>
      <c r="H42" s="28">
        <v>22</v>
      </c>
      <c r="I42" s="29" t="s">
        <v>0</v>
      </c>
      <c r="J42" s="30">
        <v>25</v>
      </c>
      <c r="K42" s="28">
        <v>14</v>
      </c>
      <c r="L42" s="29" t="s">
        <v>0</v>
      </c>
      <c r="M42" s="30">
        <v>25</v>
      </c>
      <c r="N42" s="28">
        <v>25</v>
      </c>
      <c r="O42" s="29" t="s">
        <v>0</v>
      </c>
      <c r="P42" s="30">
        <v>22</v>
      </c>
      <c r="Q42" s="28">
        <v>18</v>
      </c>
      <c r="R42" s="29" t="s">
        <v>0</v>
      </c>
      <c r="S42" s="30">
        <v>25</v>
      </c>
      <c r="T42" s="28"/>
      <c r="U42" s="29" t="s">
        <v>0</v>
      </c>
      <c r="V42" s="30"/>
      <c r="W42" s="31">
        <f t="shared" si="103"/>
        <v>79</v>
      </c>
      <c r="X42" s="29" t="s">
        <v>0</v>
      </c>
      <c r="Y42" s="32">
        <f t="shared" si="104"/>
        <v>97</v>
      </c>
      <c r="AD42" s="12">
        <f t="shared" si="84"/>
        <v>4</v>
      </c>
      <c r="AE42" s="12" t="str">
        <f t="shared" si="85"/>
        <v> Spain</v>
      </c>
      <c r="AF42" s="12">
        <f t="shared" si="86"/>
        <v>1</v>
      </c>
      <c r="AG42" s="12">
        <f t="shared" si="87"/>
        <v>3</v>
      </c>
      <c r="AH42" s="12">
        <f t="shared" si="88"/>
        <v>1</v>
      </c>
      <c r="AI42" s="12">
        <f t="shared" si="89"/>
        <v>0</v>
      </c>
      <c r="AJ42" s="12">
        <f t="shared" si="90"/>
        <v>1</v>
      </c>
      <c r="AK42" s="12">
        <f t="shared" si="91"/>
        <v>0</v>
      </c>
      <c r="AL42" s="12">
        <f t="shared" si="92"/>
        <v>97</v>
      </c>
      <c r="AM42" s="12">
        <f t="shared" si="93"/>
        <v>79</v>
      </c>
      <c r="AO42" s="12" t="str">
        <f t="shared" si="94"/>
        <v> Bulgaria</v>
      </c>
      <c r="AP42" s="12">
        <f t="shared" si="95"/>
        <v>1</v>
      </c>
      <c r="AQ42" s="12">
        <f t="shared" si="96"/>
        <v>1</v>
      </c>
      <c r="AR42" s="12">
        <f t="shared" si="97"/>
        <v>3</v>
      </c>
      <c r="AS42" s="12">
        <f t="shared" si="98"/>
        <v>0</v>
      </c>
      <c r="AT42" s="12">
        <f t="shared" si="99"/>
        <v>1</v>
      </c>
      <c r="AU42" s="12">
        <f t="shared" si="100"/>
        <v>0</v>
      </c>
      <c r="AV42" s="12">
        <f t="shared" si="101"/>
        <v>79</v>
      </c>
      <c r="AW42" s="12">
        <f t="shared" si="102"/>
        <v>97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2</v>
      </c>
      <c r="BI42" s="50">
        <f>VLOOKUP($AX42,Dummy!$B$19:$S$22,12,FALSE)</f>
        <v>1</v>
      </c>
      <c r="BJ42" s="50">
        <f>VLOOKUP($AX42,Dummy!$B$19:$S$22,13,FALSE)</f>
        <v>2</v>
      </c>
      <c r="BK42" s="50">
        <f>VLOOKUP($AX42,Dummy!$B$19:$S$22,14,FALSE)</f>
        <v>9</v>
      </c>
      <c r="BL42" s="52">
        <f>VLOOKUP($AX42,Dummy!$B$19:$S$22,15,FALSE)</f>
        <v>222.2222222222222</v>
      </c>
      <c r="BM42" s="50">
        <f>VLOOKUP($AX42,Dummy!$B$19:$S$22,16,FALSE)</f>
        <v>218</v>
      </c>
      <c r="BN42" s="50">
        <f>VLOOKUP($AX42,Dummy!$B$19:$S$22,17,FALSE)</f>
        <v>270</v>
      </c>
      <c r="BO42" s="52">
        <f>VLOOKUP($AX42,Dummy!$B$19:$S$22,18,FALSE)</f>
        <v>807.4074074074075</v>
      </c>
    </row>
    <row r="43" spans="2:70" x14ac:dyDescent="0.25">
      <c r="B43" s="23">
        <v>45896</v>
      </c>
      <c r="C43" s="24" t="str">
        <f>AB38</f>
        <v> Turkey</v>
      </c>
      <c r="D43" s="48">
        <v>3</v>
      </c>
      <c r="E43" s="49" t="s">
        <v>0</v>
      </c>
      <c r="F43" s="47">
        <v>0</v>
      </c>
      <c r="G43" s="25" t="str">
        <f>AB39</f>
        <v> Canada</v>
      </c>
      <c r="H43" s="28">
        <v>25</v>
      </c>
      <c r="I43" s="29" t="s">
        <v>0</v>
      </c>
      <c r="J43" s="30">
        <v>21</v>
      </c>
      <c r="K43" s="28">
        <v>27</v>
      </c>
      <c r="L43" s="29" t="s">
        <v>0</v>
      </c>
      <c r="M43" s="30">
        <v>25</v>
      </c>
      <c r="N43" s="28">
        <v>25</v>
      </c>
      <c r="O43" s="29" t="s">
        <v>0</v>
      </c>
      <c r="P43" s="30">
        <v>13</v>
      </c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77</v>
      </c>
      <c r="X43" s="29" t="s">
        <v>0</v>
      </c>
      <c r="Y43" s="32">
        <f t="shared" si="104"/>
        <v>59</v>
      </c>
      <c r="AD43" s="12">
        <f t="shared" si="84"/>
        <v>3</v>
      </c>
      <c r="AE43" s="12" t="str">
        <f t="shared" si="85"/>
        <v> Turkey</v>
      </c>
      <c r="AF43" s="12">
        <f t="shared" si="86"/>
        <v>1</v>
      </c>
      <c r="AG43" s="12">
        <f t="shared" si="87"/>
        <v>3</v>
      </c>
      <c r="AH43" s="12">
        <f t="shared" si="88"/>
        <v>0</v>
      </c>
      <c r="AI43" s="12">
        <f t="shared" si="89"/>
        <v>1</v>
      </c>
      <c r="AJ43" s="12">
        <f t="shared" si="90"/>
        <v>0</v>
      </c>
      <c r="AK43" s="12">
        <f t="shared" si="91"/>
        <v>0</v>
      </c>
      <c r="AL43" s="12">
        <f t="shared" si="92"/>
        <v>77</v>
      </c>
      <c r="AM43" s="12">
        <f t="shared" si="93"/>
        <v>59</v>
      </c>
      <c r="AO43" s="12" t="str">
        <f t="shared" si="94"/>
        <v> Canada</v>
      </c>
      <c r="AP43" s="12">
        <f t="shared" si="95"/>
        <v>1</v>
      </c>
      <c r="AQ43" s="12">
        <f t="shared" si="96"/>
        <v>0</v>
      </c>
      <c r="AR43" s="12">
        <f t="shared" si="97"/>
        <v>3</v>
      </c>
      <c r="AS43" s="12">
        <f t="shared" si="98"/>
        <v>0</v>
      </c>
      <c r="AT43" s="12">
        <f t="shared" si="99"/>
        <v>0</v>
      </c>
      <c r="AU43" s="12">
        <f t="shared" si="100"/>
        <v>1</v>
      </c>
      <c r="AV43" s="12">
        <f t="shared" si="101"/>
        <v>59</v>
      </c>
      <c r="AW43" s="12">
        <f t="shared" si="102"/>
        <v>77</v>
      </c>
      <c r="BA43" s="26">
        <f>SUM(BA39:BA42)</f>
        <v>12</v>
      </c>
    </row>
    <row r="44" spans="2:70" ht="15" customHeight="1" x14ac:dyDescent="0.25">
      <c r="B44" s="76" t="s">
        <v>79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86</v>
      </c>
      <c r="C45" s="21"/>
      <c r="D45" s="60" t="s">
        <v>87</v>
      </c>
      <c r="E45" s="60"/>
      <c r="F45" s="60"/>
      <c r="G45" s="22"/>
      <c r="H45" s="61" t="s">
        <v>88</v>
      </c>
      <c r="I45" s="59"/>
      <c r="J45" s="59"/>
      <c r="K45" s="61" t="s">
        <v>89</v>
      </c>
      <c r="L45" s="59"/>
      <c r="M45" s="59"/>
      <c r="N45" s="61" t="s">
        <v>90</v>
      </c>
      <c r="O45" s="59"/>
      <c r="P45" s="59"/>
      <c r="Q45" s="61" t="s">
        <v>91</v>
      </c>
      <c r="R45" s="59"/>
      <c r="S45" s="59"/>
      <c r="T45" s="61" t="s">
        <v>92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93</v>
      </c>
      <c r="AY45" s="70"/>
      <c r="AZ45" s="71"/>
      <c r="BA45" s="69" t="s">
        <v>94</v>
      </c>
      <c r="BB45" s="70"/>
      <c r="BC45" s="71"/>
      <c r="BD45" s="69" t="s">
        <v>95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96</v>
      </c>
      <c r="BN45" s="70"/>
      <c r="BO45" s="71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9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2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271</v>
      </c>
      <c r="BN47" s="50">
        <f>VLOOKUP($AX47,Dummy!$B$23:$S$26,17,FALSE)</f>
        <v>201</v>
      </c>
      <c r="BO47" s="52">
        <f>VLOOKUP($AX47,Dummy!$B$23:$S$26,18,FALSE)</f>
        <v>1348.2587064676616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6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1</v>
      </c>
      <c r="BJ48" s="50">
        <f>VLOOKUP($AX48,Dummy!$B$23:$S$26,13,FALSE)</f>
        <v>6</v>
      </c>
      <c r="BK48" s="50">
        <f>VLOOKUP($AX48,Dummy!$B$23:$S$26,14,FALSE)</f>
        <v>3</v>
      </c>
      <c r="BL48" s="52">
        <f>VLOOKUP($AX48,Dummy!$B$23:$S$26,15,FALSE)</f>
        <v>2000</v>
      </c>
      <c r="BM48" s="50">
        <f>VLOOKUP($AX48,Dummy!$B$23:$S$26,16,FALSE)</f>
        <v>203</v>
      </c>
      <c r="BN48" s="50">
        <f>VLOOKUP($AX48,Dummy!$B$23:$S$26,17,FALSE)</f>
        <v>173</v>
      </c>
      <c r="BO48" s="52">
        <f>VLOOKUP($AX48,Dummy!$B$23:$S$26,18,FALSE)</f>
        <v>1173.4104046242776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2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1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4</v>
      </c>
      <c r="BK49" s="50">
        <f>VLOOKUP($AX49,Dummy!$B$23:$S$26,14,FALSE)</f>
        <v>8</v>
      </c>
      <c r="BL49" s="52">
        <f>VLOOKUP($AX49,Dummy!$B$23:$S$26,15,FALSE)</f>
        <v>500</v>
      </c>
      <c r="BM49" s="50">
        <f>VLOOKUP($AX49,Dummy!$B$23:$S$26,16,FALSE)</f>
        <v>234</v>
      </c>
      <c r="BN49" s="50">
        <f>VLOOKUP($AX49,Dummy!$B$23:$S$26,17,FALSE)</f>
        <v>280</v>
      </c>
      <c r="BO49" s="52">
        <f>VLOOKUP($AX49,Dummy!$B$23:$S$26,18,FALSE)</f>
        <v>835.71428571428578</v>
      </c>
    </row>
    <row r="50" spans="2:67" x14ac:dyDescent="0.25">
      <c r="B50" s="11">
        <v>45896</v>
      </c>
      <c r="C50" s="6" t="str">
        <f>AB48</f>
        <v> Colombia</v>
      </c>
      <c r="D50" s="48">
        <v>2</v>
      </c>
      <c r="E50" s="49" t="s">
        <v>0</v>
      </c>
      <c r="F50" s="47">
        <v>3</v>
      </c>
      <c r="G50" s="5" t="str">
        <f>AB49</f>
        <v> Mexico</v>
      </c>
      <c r="H50" s="28">
        <v>22</v>
      </c>
      <c r="I50" s="29" t="s">
        <v>0</v>
      </c>
      <c r="J50" s="30">
        <v>25</v>
      </c>
      <c r="K50" s="28">
        <v>25</v>
      </c>
      <c r="L50" s="29" t="s">
        <v>0</v>
      </c>
      <c r="M50" s="30">
        <v>22</v>
      </c>
      <c r="N50" s="28">
        <v>23</v>
      </c>
      <c r="O50" s="29" t="s">
        <v>0</v>
      </c>
      <c r="P50" s="30">
        <v>25</v>
      </c>
      <c r="Q50" s="28">
        <v>25</v>
      </c>
      <c r="R50" s="29" t="s">
        <v>0</v>
      </c>
      <c r="S50" s="30">
        <v>18</v>
      </c>
      <c r="T50" s="28">
        <v>12</v>
      </c>
      <c r="U50" s="29" t="s">
        <v>0</v>
      </c>
      <c r="V50" s="30">
        <v>15</v>
      </c>
      <c r="W50" s="31">
        <f t="shared" si="124"/>
        <v>107</v>
      </c>
      <c r="X50" s="29" t="s">
        <v>0</v>
      </c>
      <c r="Y50" s="32">
        <f t="shared" si="125"/>
        <v>105</v>
      </c>
      <c r="AD50" s="12">
        <f t="shared" si="105"/>
        <v>5</v>
      </c>
      <c r="AE50" s="12" t="str">
        <f t="shared" si="106"/>
        <v> Mexico</v>
      </c>
      <c r="AF50" s="12">
        <f t="shared" si="107"/>
        <v>1</v>
      </c>
      <c r="AG50" s="12">
        <f t="shared" si="108"/>
        <v>3</v>
      </c>
      <c r="AH50" s="12">
        <f t="shared" si="109"/>
        <v>2</v>
      </c>
      <c r="AI50" s="12">
        <f t="shared" si="110"/>
        <v>0</v>
      </c>
      <c r="AJ50" s="12">
        <f t="shared" si="111"/>
        <v>0</v>
      </c>
      <c r="AK50" s="12">
        <f t="shared" si="112"/>
        <v>1</v>
      </c>
      <c r="AL50" s="12">
        <f t="shared" si="113"/>
        <v>105</v>
      </c>
      <c r="AM50" s="12">
        <f t="shared" si="114"/>
        <v>107</v>
      </c>
      <c r="AO50" s="12" t="str">
        <f t="shared" si="115"/>
        <v> Colombia</v>
      </c>
      <c r="AP50" s="12">
        <f t="shared" si="116"/>
        <v>1</v>
      </c>
      <c r="AQ50" s="12">
        <f t="shared" si="117"/>
        <v>2</v>
      </c>
      <c r="AR50" s="12">
        <f t="shared" si="118"/>
        <v>3</v>
      </c>
      <c r="AS50" s="12">
        <f t="shared" si="119"/>
        <v>1</v>
      </c>
      <c r="AT50" s="12">
        <f t="shared" si="120"/>
        <v>0</v>
      </c>
      <c r="AU50" s="12">
        <f t="shared" si="121"/>
        <v>0</v>
      </c>
      <c r="AV50" s="12">
        <f t="shared" si="122"/>
        <v>107</v>
      </c>
      <c r="AW50" s="12">
        <f t="shared" si="123"/>
        <v>105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1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1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3</v>
      </c>
      <c r="BK50" s="50">
        <f>VLOOKUP($AX50,Dummy!$B$23:$S$26,14,FALSE)</f>
        <v>9</v>
      </c>
      <c r="BL50" s="52">
        <f>VLOOKUP($AX50,Dummy!$B$23:$S$26,15,FALSE)</f>
        <v>333.33333333333331</v>
      </c>
      <c r="BM50" s="50">
        <f>VLOOKUP($AX50,Dummy!$B$23:$S$26,16,FALSE)</f>
        <v>224</v>
      </c>
      <c r="BN50" s="50">
        <f>VLOOKUP($AX50,Dummy!$B$23:$S$26,17,FALSE)</f>
        <v>278</v>
      </c>
      <c r="BO50" s="52">
        <f>VLOOKUP($AX50,Dummy!$B$23:$S$26,18,FALSE)</f>
        <v>805.75539568345323</v>
      </c>
    </row>
    <row r="51" spans="2:67" x14ac:dyDescent="0.25">
      <c r="B51" s="11">
        <v>45896</v>
      </c>
      <c r="C51" s="6" t="str">
        <f>AB46</f>
        <v> China</v>
      </c>
      <c r="D51" s="48">
        <v>3</v>
      </c>
      <c r="E51" s="49" t="s">
        <v>0</v>
      </c>
      <c r="F51" s="47">
        <v>0</v>
      </c>
      <c r="G51" s="5" t="str">
        <f>AB47</f>
        <v> Dominican Republic</v>
      </c>
      <c r="H51" s="28">
        <v>25</v>
      </c>
      <c r="I51" s="29" t="s">
        <v>0</v>
      </c>
      <c r="J51" s="30">
        <v>15</v>
      </c>
      <c r="K51" s="28">
        <v>25</v>
      </c>
      <c r="L51" s="29" t="s">
        <v>0</v>
      </c>
      <c r="M51" s="30">
        <v>21</v>
      </c>
      <c r="N51" s="28">
        <v>25</v>
      </c>
      <c r="O51" s="29" t="s">
        <v>0</v>
      </c>
      <c r="P51" s="30">
        <v>17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53</v>
      </c>
      <c r="AD51" s="12">
        <f t="shared" si="105"/>
        <v>3</v>
      </c>
      <c r="AE51" s="12" t="str">
        <f t="shared" si="106"/>
        <v> China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53</v>
      </c>
      <c r="AO51" s="12" t="str">
        <f t="shared" si="115"/>
        <v> Dominican Republic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53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76" t="s">
        <v>80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86</v>
      </c>
      <c r="C53" s="21"/>
      <c r="D53" s="60" t="s">
        <v>87</v>
      </c>
      <c r="E53" s="60"/>
      <c r="F53" s="60"/>
      <c r="G53" s="22"/>
      <c r="H53" s="61" t="s">
        <v>88</v>
      </c>
      <c r="I53" s="59"/>
      <c r="J53" s="59"/>
      <c r="K53" s="61" t="s">
        <v>89</v>
      </c>
      <c r="L53" s="59"/>
      <c r="M53" s="59"/>
      <c r="N53" s="61" t="s">
        <v>90</v>
      </c>
      <c r="O53" s="59"/>
      <c r="P53" s="59"/>
      <c r="Q53" s="61" t="s">
        <v>91</v>
      </c>
      <c r="R53" s="59"/>
      <c r="S53" s="59"/>
      <c r="T53" s="61" t="s">
        <v>92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93</v>
      </c>
      <c r="AY53" s="70"/>
      <c r="AZ53" s="71"/>
      <c r="BA53" s="69" t="s">
        <v>94</v>
      </c>
      <c r="BB53" s="70"/>
      <c r="BC53" s="71"/>
      <c r="BD53" s="69" t="s">
        <v>95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96</v>
      </c>
      <c r="BN53" s="70"/>
      <c r="BO53" s="71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8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2</v>
      </c>
      <c r="BF55" s="50">
        <f>VLOOKUP($AX55,Dummy!$B$27:$S$30,9,FALSE)</f>
        <v>1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4</v>
      </c>
      <c r="BL55" s="52">
        <f>VLOOKUP($AX55,Dummy!$B$27:$S$30,15,FALSE)</f>
        <v>2250</v>
      </c>
      <c r="BM55" s="50">
        <f>VLOOKUP($AX55,Dummy!$B$27:$S$30,16,FALSE)</f>
        <v>300</v>
      </c>
      <c r="BN55" s="50">
        <f>VLOOKUP($AX55,Dummy!$B$27:$S$30,17,FALSE)</f>
        <v>248</v>
      </c>
      <c r="BO55" s="52">
        <f>VLOOKUP($AX55,Dummy!$B$27:$S$30,18,FALSE)</f>
        <v>1209.6774193548388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7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2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1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8</v>
      </c>
      <c r="BK56" s="50">
        <f>VLOOKUP($AX56,Dummy!$B$27:$S$30,14,FALSE)</f>
        <v>3</v>
      </c>
      <c r="BL56" s="52">
        <f>VLOOKUP($AX56,Dummy!$B$27:$S$30,15,FALSE)</f>
        <v>2666.6666666666665</v>
      </c>
      <c r="BM56" s="50">
        <f>VLOOKUP($AX56,Dummy!$B$27:$S$30,16,FALSE)</f>
        <v>258</v>
      </c>
      <c r="BN56" s="50">
        <f>VLOOKUP($AX56,Dummy!$B$27:$S$30,17,FALSE)</f>
        <v>218</v>
      </c>
      <c r="BO56" s="52">
        <f>VLOOKUP($AX56,Dummy!$B$27:$S$30,18,FALSE)</f>
        <v>1183.4862385321101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4</v>
      </c>
      <c r="BK57" s="50">
        <f>VLOOKUP($AX57,Dummy!$B$27:$S$30,14,FALSE)</f>
        <v>6</v>
      </c>
      <c r="BL57" s="52">
        <f>VLOOKUP($AX57,Dummy!$B$27:$S$30,15,FALSE)</f>
        <v>666.66666666666663</v>
      </c>
      <c r="BM57" s="50">
        <f>VLOOKUP($AX57,Dummy!$B$27:$S$30,16,FALSE)</f>
        <v>196</v>
      </c>
      <c r="BN57" s="50">
        <f>VLOOKUP($AX57,Dummy!$B$27:$S$30,17,FALSE)</f>
        <v>228</v>
      </c>
      <c r="BO57" s="52">
        <f>VLOOKUP($AX57,Dummy!$B$27:$S$30,18,FALSE)</f>
        <v>859.64912280701753</v>
      </c>
    </row>
    <row r="58" spans="2:67" x14ac:dyDescent="0.25">
      <c r="B58" s="23">
        <v>45896</v>
      </c>
      <c r="C58" s="24" t="str">
        <f>AB56</f>
        <v> Kenya</v>
      </c>
      <c r="D58" s="48">
        <v>3</v>
      </c>
      <c r="E58" s="49" t="s">
        <v>0</v>
      </c>
      <c r="F58" s="47">
        <v>0</v>
      </c>
      <c r="G58" s="25" t="str">
        <f>AB57</f>
        <v> Vietnam</v>
      </c>
      <c r="H58" s="28">
        <v>25</v>
      </c>
      <c r="I58" s="29" t="s">
        <v>0</v>
      </c>
      <c r="J58" s="30">
        <v>23</v>
      </c>
      <c r="K58" s="28">
        <v>25</v>
      </c>
      <c r="L58" s="29" t="s">
        <v>0</v>
      </c>
      <c r="M58" s="30">
        <v>22</v>
      </c>
      <c r="N58" s="28">
        <v>25</v>
      </c>
      <c r="O58" s="29" t="s">
        <v>0</v>
      </c>
      <c r="P58" s="30">
        <v>18</v>
      </c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75</v>
      </c>
      <c r="X58" s="29" t="s">
        <v>0</v>
      </c>
      <c r="Y58" s="32">
        <f t="shared" si="127"/>
        <v>63</v>
      </c>
      <c r="AD58" s="12">
        <f t="shared" si="128"/>
        <v>3</v>
      </c>
      <c r="AE58" s="12" t="str">
        <f t="shared" si="129"/>
        <v> Kenya</v>
      </c>
      <c r="AF58" s="12">
        <f t="shared" si="130"/>
        <v>1</v>
      </c>
      <c r="AG58" s="12">
        <f t="shared" si="131"/>
        <v>3</v>
      </c>
      <c r="AH58" s="12">
        <f t="shared" si="132"/>
        <v>0</v>
      </c>
      <c r="AI58" s="12">
        <f t="shared" si="133"/>
        <v>1</v>
      </c>
      <c r="AJ58" s="12">
        <f t="shared" si="134"/>
        <v>0</v>
      </c>
      <c r="AK58" s="12">
        <f t="shared" si="135"/>
        <v>0</v>
      </c>
      <c r="AL58" s="12">
        <f t="shared" si="136"/>
        <v>75</v>
      </c>
      <c r="AM58" s="12">
        <f t="shared" si="137"/>
        <v>63</v>
      </c>
      <c r="AO58" s="12" t="str">
        <f t="shared" si="138"/>
        <v> Vietnam</v>
      </c>
      <c r="AP58" s="12">
        <f t="shared" si="139"/>
        <v>1</v>
      </c>
      <c r="AQ58" s="12">
        <f t="shared" si="140"/>
        <v>0</v>
      </c>
      <c r="AR58" s="12">
        <f t="shared" si="141"/>
        <v>3</v>
      </c>
      <c r="AS58" s="12">
        <f t="shared" si="142"/>
        <v>0</v>
      </c>
      <c r="AT58" s="12">
        <f t="shared" si="143"/>
        <v>0</v>
      </c>
      <c r="AU58" s="12">
        <f t="shared" si="144"/>
        <v>1</v>
      </c>
      <c r="AV58" s="12">
        <f t="shared" si="145"/>
        <v>63</v>
      </c>
      <c r="AW58" s="12">
        <f t="shared" si="146"/>
        <v>75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2</v>
      </c>
      <c r="BJ58" s="50">
        <f>VLOOKUP($AX58,Dummy!$B$27:$S$30,13,FALSE)</f>
        <v>1</v>
      </c>
      <c r="BK58" s="50">
        <f>VLOOKUP($AX58,Dummy!$B$27:$S$30,14,FALSE)</f>
        <v>9</v>
      </c>
      <c r="BL58" s="52">
        <f>VLOOKUP($AX58,Dummy!$B$27:$S$30,15,FALSE)</f>
        <v>111.1111111111111</v>
      </c>
      <c r="BM58" s="50">
        <f>VLOOKUP($AX58,Dummy!$B$27:$S$30,16,FALSE)</f>
        <v>188</v>
      </c>
      <c r="BN58" s="50">
        <f>VLOOKUP($AX58,Dummy!$B$27:$S$30,17,FALSE)</f>
        <v>248</v>
      </c>
      <c r="BO58" s="52">
        <f>VLOOKUP($AX58,Dummy!$B$27:$S$30,18,FALSE)</f>
        <v>758.0645161290322</v>
      </c>
    </row>
    <row r="59" spans="2:67" x14ac:dyDescent="0.25">
      <c r="B59" s="23">
        <v>45896</v>
      </c>
      <c r="C59" s="24" t="str">
        <f>AB54</f>
        <v> Poland</v>
      </c>
      <c r="D59" s="48">
        <v>3</v>
      </c>
      <c r="E59" s="49" t="s">
        <v>0</v>
      </c>
      <c r="F59" s="47">
        <v>2</v>
      </c>
      <c r="G59" s="25" t="str">
        <f>AB55</f>
        <v> Germany</v>
      </c>
      <c r="H59" s="28">
        <v>21</v>
      </c>
      <c r="I59" s="29" t="s">
        <v>0</v>
      </c>
      <c r="J59" s="30">
        <v>25</v>
      </c>
      <c r="K59" s="28">
        <v>25</v>
      </c>
      <c r="L59" s="29" t="s">
        <v>0</v>
      </c>
      <c r="M59" s="30">
        <v>15</v>
      </c>
      <c r="N59" s="28">
        <v>19</v>
      </c>
      <c r="O59" s="29" t="s">
        <v>0</v>
      </c>
      <c r="P59" s="30">
        <v>25</v>
      </c>
      <c r="Q59" s="28">
        <v>28</v>
      </c>
      <c r="R59" s="29" t="s">
        <v>0</v>
      </c>
      <c r="S59" s="30">
        <v>26</v>
      </c>
      <c r="T59" s="28">
        <v>19</v>
      </c>
      <c r="U59" s="29" t="s">
        <v>0</v>
      </c>
      <c r="V59" s="30">
        <v>17</v>
      </c>
      <c r="W59" s="31">
        <f t="shared" si="126"/>
        <v>112</v>
      </c>
      <c r="X59" s="29" t="s">
        <v>0</v>
      </c>
      <c r="Y59" s="32">
        <f t="shared" si="127"/>
        <v>108</v>
      </c>
      <c r="AD59" s="12">
        <f t="shared" si="128"/>
        <v>5</v>
      </c>
      <c r="AE59" s="12" t="str">
        <f t="shared" si="129"/>
        <v> Poland</v>
      </c>
      <c r="AF59" s="12">
        <f t="shared" si="130"/>
        <v>1</v>
      </c>
      <c r="AG59" s="12">
        <f t="shared" si="131"/>
        <v>3</v>
      </c>
      <c r="AH59" s="12">
        <f t="shared" si="132"/>
        <v>2</v>
      </c>
      <c r="AI59" s="12">
        <f t="shared" si="133"/>
        <v>0</v>
      </c>
      <c r="AJ59" s="12">
        <f t="shared" si="134"/>
        <v>0</v>
      </c>
      <c r="AK59" s="12">
        <f t="shared" si="135"/>
        <v>1</v>
      </c>
      <c r="AL59" s="12">
        <f t="shared" si="136"/>
        <v>112</v>
      </c>
      <c r="AM59" s="12">
        <f t="shared" si="137"/>
        <v>108</v>
      </c>
      <c r="AO59" s="12" t="str">
        <f t="shared" si="138"/>
        <v> Germany</v>
      </c>
      <c r="AP59" s="12">
        <f t="shared" si="139"/>
        <v>1</v>
      </c>
      <c r="AQ59" s="12">
        <f t="shared" si="140"/>
        <v>2</v>
      </c>
      <c r="AR59" s="12">
        <f t="shared" si="141"/>
        <v>3</v>
      </c>
      <c r="AS59" s="12">
        <f t="shared" si="142"/>
        <v>1</v>
      </c>
      <c r="AT59" s="12">
        <f t="shared" si="143"/>
        <v>0</v>
      </c>
      <c r="AU59" s="12">
        <f t="shared" si="144"/>
        <v>0</v>
      </c>
      <c r="AV59" s="12">
        <f t="shared" si="145"/>
        <v>108</v>
      </c>
      <c r="AW59" s="12">
        <f t="shared" si="146"/>
        <v>112</v>
      </c>
      <c r="BA59" s="26">
        <f>SUM(BA55:BA58)</f>
        <v>12</v>
      </c>
    </row>
    <row r="60" spans="2:67" ht="15" customHeight="1" x14ac:dyDescent="0.25">
      <c r="B60" s="76" t="s">
        <v>81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86</v>
      </c>
      <c r="C61" s="21"/>
      <c r="D61" s="60" t="s">
        <v>87</v>
      </c>
      <c r="E61" s="60"/>
      <c r="F61" s="60"/>
      <c r="G61" s="22"/>
      <c r="H61" s="61" t="s">
        <v>88</v>
      </c>
      <c r="I61" s="59"/>
      <c r="J61" s="59"/>
      <c r="K61" s="61" t="s">
        <v>89</v>
      </c>
      <c r="L61" s="59"/>
      <c r="M61" s="59"/>
      <c r="N61" s="61" t="s">
        <v>90</v>
      </c>
      <c r="O61" s="59"/>
      <c r="P61" s="59"/>
      <c r="Q61" s="61" t="s">
        <v>91</v>
      </c>
      <c r="R61" s="59"/>
      <c r="S61" s="59"/>
      <c r="T61" s="61" t="s">
        <v>92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93</v>
      </c>
      <c r="AY61" s="70"/>
      <c r="AZ61" s="71"/>
      <c r="BA61" s="69" t="s">
        <v>94</v>
      </c>
      <c r="BB61" s="70"/>
      <c r="BC61" s="71"/>
      <c r="BD61" s="69" t="s">
        <v>95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96</v>
      </c>
      <c r="BN61" s="70"/>
      <c r="BO61" s="71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8</v>
      </c>
      <c r="BA63" s="50">
        <f>VLOOKUP($AX63,Dummy!$B$31:$S$34,4,FALSE)</f>
        <v>3</v>
      </c>
      <c r="BB63" s="50">
        <f>VLOOKUP($AX63,Dummy!$B$31:$S$34,5,FALSE)</f>
        <v>3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1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9</v>
      </c>
      <c r="BK63" s="50">
        <f>VLOOKUP($AX63,Dummy!$B$31:$S$34,14,FALSE)</f>
        <v>3</v>
      </c>
      <c r="BL63" s="52">
        <f>VLOOKUP($AX63,Dummy!$B$31:$S$34,15,FALSE)</f>
        <v>3000</v>
      </c>
      <c r="BM63" s="50">
        <f>VLOOKUP($AX63,Dummy!$B$31:$S$34,16,FALSE)</f>
        <v>289</v>
      </c>
      <c r="BN63" s="50">
        <f>VLOOKUP($AX63,Dummy!$B$31:$S$34,17,FALSE)</f>
        <v>258</v>
      </c>
      <c r="BO63" s="52">
        <f>VLOOKUP($AX63,Dummy!$B$31:$S$34,18,FALSE)</f>
        <v>1120.1550387596899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1</v>
      </c>
      <c r="BI64" s="50">
        <f>VLOOKUP($AX64,Dummy!$B$31:$S$34,12,FALSE)</f>
        <v>0</v>
      </c>
      <c r="BJ64" s="50">
        <f>VLOOKUP($AX64,Dummy!$B$31:$S$34,13,FALSE)</f>
        <v>7</v>
      </c>
      <c r="BK64" s="50">
        <f>VLOOKUP($AX64,Dummy!$B$31:$S$34,14,FALSE)</f>
        <v>3</v>
      </c>
      <c r="BL64" s="52">
        <f>VLOOKUP($AX64,Dummy!$B$31:$S$34,15,FALSE)</f>
        <v>2333.3333333333335</v>
      </c>
      <c r="BM64" s="50">
        <f>VLOOKUP($AX64,Dummy!$B$31:$S$34,16,FALSE)</f>
        <v>244</v>
      </c>
      <c r="BN64" s="50">
        <f>VLOOKUP($AX64,Dummy!$B$31:$S$34,17,FALSE)</f>
        <v>204</v>
      </c>
      <c r="BO64" s="52">
        <f>VLOOKUP($AX64,Dummy!$B$31:$S$34,18,FALSE)</f>
        <v>1196.0784313725489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4</v>
      </c>
      <c r="BA65" s="50">
        <f>VLOOKUP($AX65,Dummy!$B$31:$S$34,4,FALSE)</f>
        <v>3</v>
      </c>
      <c r="BB65" s="50">
        <f>VLOOKUP($AX65,Dummy!$B$31:$S$34,5,FALSE)</f>
        <v>1</v>
      </c>
      <c r="BC65" s="50">
        <f>VLOOKUP($AX65,Dummy!$B$31:$S$34,6,FALSE)</f>
        <v>2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5</v>
      </c>
      <c r="BK65" s="50">
        <f>VLOOKUP($AX65,Dummy!$B$31:$S$34,14,FALSE)</f>
        <v>6</v>
      </c>
      <c r="BL65" s="52">
        <f>VLOOKUP($AX65,Dummy!$B$31:$S$34,15,FALSE)</f>
        <v>833.33333333333337</v>
      </c>
      <c r="BM65" s="50">
        <f>VLOOKUP($AX65,Dummy!$B$31:$S$34,16,FALSE)</f>
        <v>239</v>
      </c>
      <c r="BN65" s="50">
        <f>VLOOKUP($AX65,Dummy!$B$31:$S$34,17,FALSE)</f>
        <v>244</v>
      </c>
      <c r="BO65" s="52">
        <f>VLOOKUP($AX65,Dummy!$B$31:$S$34,18,FALSE)</f>
        <v>979.50819672131149</v>
      </c>
    </row>
    <row r="66" spans="2:67" x14ac:dyDescent="0.25">
      <c r="B66" s="11">
        <v>45896</v>
      </c>
      <c r="C66" s="6" t="str">
        <f>AB64</f>
        <v> Ukraine</v>
      </c>
      <c r="D66" s="48">
        <v>3</v>
      </c>
      <c r="E66" s="49" t="s">
        <v>0</v>
      </c>
      <c r="F66" s="47">
        <v>0</v>
      </c>
      <c r="G66" s="5" t="str">
        <f>AB65</f>
        <v> Cameroon</v>
      </c>
      <c r="H66" s="28">
        <v>25</v>
      </c>
      <c r="I66" s="29" t="s">
        <v>0</v>
      </c>
      <c r="J66" s="30">
        <v>17</v>
      </c>
      <c r="K66" s="28">
        <v>25</v>
      </c>
      <c r="L66" s="29" t="s">
        <v>0</v>
      </c>
      <c r="M66" s="30">
        <v>21</v>
      </c>
      <c r="N66" s="28">
        <v>25</v>
      </c>
      <c r="O66" s="29" t="s">
        <v>0</v>
      </c>
      <c r="P66" s="30">
        <v>20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75</v>
      </c>
      <c r="X66" s="29" t="s">
        <v>0</v>
      </c>
      <c r="Y66" s="32">
        <f t="shared" si="167"/>
        <v>58</v>
      </c>
      <c r="AD66" s="12">
        <f t="shared" si="147"/>
        <v>3</v>
      </c>
      <c r="AE66" s="12" t="str">
        <f t="shared" si="148"/>
        <v> Ukraine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75</v>
      </c>
      <c r="AM66" s="12">
        <f t="shared" si="156"/>
        <v>58</v>
      </c>
      <c r="AO66" s="12" t="str">
        <f t="shared" si="157"/>
        <v> Cameroon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58</v>
      </c>
      <c r="AW66" s="12">
        <f t="shared" si="165"/>
        <v>75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3</v>
      </c>
      <c r="BJ66" s="50">
        <f>VLOOKUP($AX66,Dummy!$B$31:$S$34,13,FALSE)</f>
        <v>0</v>
      </c>
      <c r="BK66" s="50">
        <f>VLOOKUP($AX66,Dummy!$B$31:$S$34,14,FALSE)</f>
        <v>9</v>
      </c>
      <c r="BL66" s="52">
        <f>VLOOKUP($AX66,Dummy!$B$31:$S$34,15,FALSE)</f>
        <v>0</v>
      </c>
      <c r="BM66" s="50">
        <f>VLOOKUP($AX66,Dummy!$B$31:$S$34,16,FALSE)</f>
        <v>159</v>
      </c>
      <c r="BN66" s="50">
        <f>VLOOKUP($AX66,Dummy!$B$31:$S$34,17,FALSE)</f>
        <v>225</v>
      </c>
      <c r="BO66" s="52">
        <f>VLOOKUP($AX66,Dummy!$B$31:$S$34,18,FALSE)</f>
        <v>706.66666666666663</v>
      </c>
    </row>
    <row r="67" spans="2:67" x14ac:dyDescent="0.25">
      <c r="B67" s="11">
        <v>45896</v>
      </c>
      <c r="C67" s="6" t="str">
        <f>AB62</f>
        <v> Japan</v>
      </c>
      <c r="D67" s="48">
        <v>3</v>
      </c>
      <c r="E67" s="49" t="s">
        <v>0</v>
      </c>
      <c r="F67" s="47">
        <v>1</v>
      </c>
      <c r="G67" s="5" t="str">
        <f>AB63</f>
        <v> Serbia</v>
      </c>
      <c r="H67" s="28">
        <v>25</v>
      </c>
      <c r="I67" s="29" t="s">
        <v>0</v>
      </c>
      <c r="J67" s="30">
        <v>23</v>
      </c>
      <c r="K67" s="28">
        <v>30</v>
      </c>
      <c r="L67" s="29" t="s">
        <v>0</v>
      </c>
      <c r="M67" s="30">
        <v>28</v>
      </c>
      <c r="N67" s="28">
        <v>23</v>
      </c>
      <c r="O67" s="29" t="s">
        <v>0</v>
      </c>
      <c r="P67" s="30">
        <v>25</v>
      </c>
      <c r="Q67" s="28">
        <v>25</v>
      </c>
      <c r="R67" s="29" t="s">
        <v>0</v>
      </c>
      <c r="S67" s="30">
        <v>18</v>
      </c>
      <c r="T67" s="28"/>
      <c r="U67" s="29" t="s">
        <v>0</v>
      </c>
      <c r="V67" s="30"/>
      <c r="W67" s="31">
        <f t="shared" si="166"/>
        <v>103</v>
      </c>
      <c r="X67" s="29" t="s">
        <v>0</v>
      </c>
      <c r="Y67" s="32">
        <f t="shared" si="167"/>
        <v>94</v>
      </c>
      <c r="AD67" s="12">
        <f t="shared" si="147"/>
        <v>4</v>
      </c>
      <c r="AE67" s="12" t="str">
        <f t="shared" si="148"/>
        <v> Japan</v>
      </c>
      <c r="AF67" s="12">
        <f t="shared" si="149"/>
        <v>1</v>
      </c>
      <c r="AG67" s="12">
        <f t="shared" si="150"/>
        <v>3</v>
      </c>
      <c r="AH67" s="12">
        <f t="shared" si="151"/>
        <v>1</v>
      </c>
      <c r="AI67" s="12">
        <f t="shared" si="152"/>
        <v>0</v>
      </c>
      <c r="AJ67" s="12">
        <f t="shared" si="153"/>
        <v>1</v>
      </c>
      <c r="AK67" s="12">
        <f t="shared" si="154"/>
        <v>0</v>
      </c>
      <c r="AL67" s="12">
        <f t="shared" si="155"/>
        <v>103</v>
      </c>
      <c r="AM67" s="12">
        <f t="shared" si="156"/>
        <v>94</v>
      </c>
      <c r="AO67" s="12" t="str">
        <f t="shared" si="157"/>
        <v> Serbia</v>
      </c>
      <c r="AP67" s="12">
        <f t="shared" si="158"/>
        <v>1</v>
      </c>
      <c r="AQ67" s="12">
        <f t="shared" si="159"/>
        <v>1</v>
      </c>
      <c r="AR67" s="12">
        <f t="shared" si="160"/>
        <v>3</v>
      </c>
      <c r="AS67" s="12">
        <f t="shared" si="161"/>
        <v>0</v>
      </c>
      <c r="AT67" s="12">
        <f t="shared" si="162"/>
        <v>1</v>
      </c>
      <c r="AU67" s="12">
        <f t="shared" si="163"/>
        <v>0</v>
      </c>
      <c r="AV67" s="12">
        <f t="shared" si="164"/>
        <v>94</v>
      </c>
      <c r="AW67" s="12">
        <f t="shared" si="165"/>
        <v>103</v>
      </c>
      <c r="BA67" s="26">
        <f>SUM(BA63:BA66)</f>
        <v>12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95" priority="472">
      <formula>$AD6&lt;5</formula>
    </cfRule>
  </conditionalFormatting>
  <conditionalFormatting sqref="Q6:S11 Q22:S27 Q54:S59">
    <cfRule type="expression" dxfId="94" priority="471">
      <formula>$AD6&lt;4</formula>
    </cfRule>
  </conditionalFormatting>
  <conditionalFormatting sqref="N6:P11 N22:P27 N54:P59">
    <cfRule type="expression" dxfId="93" priority="470">
      <formula>$AD6&lt;3</formula>
    </cfRule>
  </conditionalFormatting>
  <conditionalFormatting sqref="K6:M11 K22:M27 K54:M59">
    <cfRule type="expression" dxfId="92" priority="469">
      <formula>$AD6&lt;2</formula>
    </cfRule>
  </conditionalFormatting>
  <conditionalFormatting sqref="H6:J11 W6:Y11 H22:J27 W22:Y27 H54:J59 W54:Y59">
    <cfRule type="expression" dxfId="91" priority="468">
      <formula>$AD6=0</formula>
    </cfRule>
  </conditionalFormatting>
  <conditionalFormatting sqref="T14:V19 T38:V43">
    <cfRule type="expression" dxfId="90" priority="460">
      <formula>$AD14&lt;5</formula>
    </cfRule>
  </conditionalFormatting>
  <conditionalFormatting sqref="Q14:S19 Q38:S43">
    <cfRule type="expression" dxfId="89" priority="459">
      <formula>$AD14&lt;4</formula>
    </cfRule>
  </conditionalFormatting>
  <conditionalFormatting sqref="N14:P19 N38:P43">
    <cfRule type="expression" dxfId="88" priority="458">
      <formula>$AD14&lt;3</formula>
    </cfRule>
  </conditionalFormatting>
  <conditionalFormatting sqref="K14:M19 K38:M43">
    <cfRule type="expression" dxfId="87" priority="457">
      <formula>$AD14&lt;2</formula>
    </cfRule>
  </conditionalFormatting>
  <conditionalFormatting sqref="H14:J19 W14:Y19 H38:J43 W38:Y43">
    <cfRule type="expression" dxfId="86" priority="456">
      <formula>$AD14=0</formula>
    </cfRule>
  </conditionalFormatting>
  <conditionalFormatting sqref="W14:Y19">
    <cfRule type="expression" dxfId="85" priority="455">
      <formula>$AD14=0</formula>
    </cfRule>
  </conditionalFormatting>
  <conditionalFormatting sqref="W14:Y19">
    <cfRule type="expression" dxfId="84" priority="417">
      <formula>$AD14=0</formula>
    </cfRule>
  </conditionalFormatting>
  <conditionalFormatting sqref="T38:V43">
    <cfRule type="expression" dxfId="83" priority="379">
      <formula>$AD38&lt;5</formula>
    </cfRule>
  </conditionalFormatting>
  <conditionalFormatting sqref="Q38:S43">
    <cfRule type="expression" dxfId="82" priority="378">
      <formula>$AD38&lt;4</formula>
    </cfRule>
  </conditionalFormatting>
  <conditionalFormatting sqref="N38:P43">
    <cfRule type="expression" dxfId="81" priority="377">
      <formula>$AD38&lt;3</formula>
    </cfRule>
  </conditionalFormatting>
  <conditionalFormatting sqref="K38:M43">
    <cfRule type="expression" dxfId="80" priority="376">
      <formula>$AD38&lt;2</formula>
    </cfRule>
  </conditionalFormatting>
  <conditionalFormatting sqref="H38:J43 W38:Y43">
    <cfRule type="expression" dxfId="79" priority="375">
      <formula>$AD38=0</formula>
    </cfRule>
  </conditionalFormatting>
  <conditionalFormatting sqref="T38:V43">
    <cfRule type="expression" dxfId="78" priority="374">
      <formula>$AD38&lt;5</formula>
    </cfRule>
  </conditionalFormatting>
  <conditionalFormatting sqref="Q38:S43">
    <cfRule type="expression" dxfId="77" priority="373">
      <formula>$AD38&lt;4</formula>
    </cfRule>
  </conditionalFormatting>
  <conditionalFormatting sqref="N38:P43">
    <cfRule type="expression" dxfId="76" priority="372">
      <formula>$AD38&lt;3</formula>
    </cfRule>
  </conditionalFormatting>
  <conditionalFormatting sqref="K38:M43">
    <cfRule type="expression" dxfId="75" priority="371">
      <formula>$AD38&lt;2</formula>
    </cfRule>
  </conditionalFormatting>
  <conditionalFormatting sqref="H38:J43 W38:Y43">
    <cfRule type="expression" dxfId="74" priority="370">
      <formula>$AD38=0</formula>
    </cfRule>
  </conditionalFormatting>
  <conditionalFormatting sqref="T38:V43">
    <cfRule type="expression" dxfId="73" priority="336">
      <formula>$AD38&lt;5</formula>
    </cfRule>
  </conditionalFormatting>
  <conditionalFormatting sqref="Q38:S43">
    <cfRule type="expression" dxfId="72" priority="335">
      <formula>$AD38&lt;4</formula>
    </cfRule>
  </conditionalFormatting>
  <conditionalFormatting sqref="N38:P43">
    <cfRule type="expression" dxfId="71" priority="334">
      <formula>$AD38&lt;3</formula>
    </cfRule>
  </conditionalFormatting>
  <conditionalFormatting sqref="K38:M43">
    <cfRule type="expression" dxfId="70" priority="333">
      <formula>$AD38&lt;2</formula>
    </cfRule>
  </conditionalFormatting>
  <conditionalFormatting sqref="H38:J43 W38:Y43">
    <cfRule type="expression" dxfId="69" priority="332">
      <formula>$AD38=0</formula>
    </cfRule>
  </conditionalFormatting>
  <conditionalFormatting sqref="T30:V35">
    <cfRule type="expression" dxfId="68" priority="328">
      <formula>$AD30&lt;5</formula>
    </cfRule>
  </conditionalFormatting>
  <conditionalFormatting sqref="Q30:S35">
    <cfRule type="expression" dxfId="67" priority="327">
      <formula>$AD30&lt;4</formula>
    </cfRule>
  </conditionalFormatting>
  <conditionalFormatting sqref="N30:P35">
    <cfRule type="expression" dxfId="66" priority="326">
      <formula>$AD30&lt;3</formula>
    </cfRule>
  </conditionalFormatting>
  <conditionalFormatting sqref="K30:M35">
    <cfRule type="expression" dxfId="65" priority="325">
      <formula>$AD30&lt;2</formula>
    </cfRule>
  </conditionalFormatting>
  <conditionalFormatting sqref="H30:J35 W30:Y35">
    <cfRule type="expression" dxfId="64" priority="324">
      <formula>$AD30=0</formula>
    </cfRule>
  </conditionalFormatting>
  <conditionalFormatting sqref="W30:Y35">
    <cfRule type="expression" dxfId="63" priority="323">
      <formula>$AD30=0</formula>
    </cfRule>
  </conditionalFormatting>
  <conditionalFormatting sqref="W30:Y35">
    <cfRule type="expression" dxfId="62" priority="322">
      <formula>$AD30=0</formula>
    </cfRule>
  </conditionalFormatting>
  <conditionalFormatting sqref="T46:V51">
    <cfRule type="expression" dxfId="61" priority="320">
      <formula>$AD46&lt;5</formula>
    </cfRule>
  </conditionalFormatting>
  <conditionalFormatting sqref="Q46:S51">
    <cfRule type="expression" dxfId="60" priority="319">
      <formula>$AD46&lt;4</formula>
    </cfRule>
  </conditionalFormatting>
  <conditionalFormatting sqref="N46:P51">
    <cfRule type="expression" dxfId="59" priority="318">
      <formula>$AD46&lt;3</formula>
    </cfRule>
  </conditionalFormatting>
  <conditionalFormatting sqref="K46:M51">
    <cfRule type="expression" dxfId="58" priority="317">
      <formula>$AD46&lt;2</formula>
    </cfRule>
  </conditionalFormatting>
  <conditionalFormatting sqref="H46:J51 W46:Y51">
    <cfRule type="expression" dxfId="57" priority="316">
      <formula>$AD46=0</formula>
    </cfRule>
  </conditionalFormatting>
  <conditionalFormatting sqref="W46:Y51">
    <cfRule type="expression" dxfId="56" priority="315">
      <formula>$AD46=0</formula>
    </cfRule>
  </conditionalFormatting>
  <conditionalFormatting sqref="W46:Y51">
    <cfRule type="expression" dxfId="55" priority="314">
      <formula>$AD46=0</formula>
    </cfRule>
  </conditionalFormatting>
  <conditionalFormatting sqref="T62:V67">
    <cfRule type="expression" dxfId="54" priority="313">
      <formula>$AD62&lt;5</formula>
    </cfRule>
  </conditionalFormatting>
  <conditionalFormatting sqref="Q62:S67">
    <cfRule type="expression" dxfId="53" priority="312">
      <formula>$AD62&lt;4</formula>
    </cfRule>
  </conditionalFormatting>
  <conditionalFormatting sqref="N62:P67">
    <cfRule type="expression" dxfId="52" priority="311">
      <formula>$AD62&lt;3</formula>
    </cfRule>
  </conditionalFormatting>
  <conditionalFormatting sqref="K62:M67">
    <cfRule type="expression" dxfId="51" priority="310">
      <formula>$AD62&lt;2</formula>
    </cfRule>
  </conditionalFormatting>
  <conditionalFormatting sqref="H62:J67 W62:Y67">
    <cfRule type="expression" dxfId="50" priority="309">
      <formula>$AD62=0</formula>
    </cfRule>
  </conditionalFormatting>
  <conditionalFormatting sqref="W62:Y67">
    <cfRule type="expression" dxfId="49" priority="308">
      <formula>$AD62=0</formula>
    </cfRule>
  </conditionalFormatting>
  <conditionalFormatting sqref="W62:Y67">
    <cfRule type="expression" dxfId="48" priority="307">
      <formula>$AD62=0</formula>
    </cfRule>
  </conditionalFormatting>
  <conditionalFormatting sqref="AX7:BO7">
    <cfRule type="expression" dxfId="47" priority="23">
      <formula>$BA11=12</formula>
    </cfRule>
  </conditionalFormatting>
  <conditionalFormatting sqref="AX8:BO8">
    <cfRule type="expression" dxfId="46" priority="22">
      <formula>$BA11=12</formula>
    </cfRule>
  </conditionalFormatting>
  <conditionalFormatting sqref="AX15:BO15">
    <cfRule type="expression" dxfId="45" priority="20">
      <formula>$BA19=12</formula>
    </cfRule>
  </conditionalFormatting>
  <conditionalFormatting sqref="AX16:BO16">
    <cfRule type="expression" dxfId="44" priority="19">
      <formula>$BA19=12</formula>
    </cfRule>
  </conditionalFormatting>
  <conditionalFormatting sqref="AX23:BO23">
    <cfRule type="expression" dxfId="43" priority="17">
      <formula>$BA27=12</formula>
    </cfRule>
  </conditionalFormatting>
  <conditionalFormatting sqref="AX24:BO24">
    <cfRule type="expression" dxfId="42" priority="16">
      <formula>$BA27=12</formula>
    </cfRule>
  </conditionalFormatting>
  <conditionalFormatting sqref="AX31:BO31">
    <cfRule type="expression" dxfId="41" priority="14">
      <formula>$BA35=12</formula>
    </cfRule>
  </conditionalFormatting>
  <conditionalFormatting sqref="AX32:BO32">
    <cfRule type="expression" dxfId="40" priority="13">
      <formula>$BA35=12</formula>
    </cfRule>
  </conditionalFormatting>
  <conditionalFormatting sqref="AX39:BO39">
    <cfRule type="expression" dxfId="39" priority="11">
      <formula>$BA43=12</formula>
    </cfRule>
  </conditionalFormatting>
  <conditionalFormatting sqref="AX40:BO40">
    <cfRule type="expression" dxfId="38" priority="10">
      <formula>$BA43=12</formula>
    </cfRule>
  </conditionalFormatting>
  <conditionalFormatting sqref="AX47:BO47">
    <cfRule type="expression" dxfId="37" priority="8">
      <formula>$BA51=12</formula>
    </cfRule>
  </conditionalFormatting>
  <conditionalFormatting sqref="AX48:BO48">
    <cfRule type="expression" dxfId="36" priority="7">
      <formula>$BA51=12</formula>
    </cfRule>
  </conditionalFormatting>
  <conditionalFormatting sqref="AX55:BO55">
    <cfRule type="expression" dxfId="35" priority="5">
      <formula>$BA59=12</formula>
    </cfRule>
  </conditionalFormatting>
  <conditionalFormatting sqref="AX56:BO56">
    <cfRule type="expression" dxfId="34" priority="4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19" sqref="D19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 Netherlands</v>
      </c>
      <c r="D6" s="48">
        <v>3</v>
      </c>
      <c r="E6" s="49" t="s">
        <v>0</v>
      </c>
      <c r="F6" s="47">
        <v>2</v>
      </c>
      <c r="G6" s="25" t="str">
        <f>IF(Preliminary!BA64&lt;3,"Runners-up of Pool H",Preliminary!AY64)</f>
        <v> Serbia</v>
      </c>
      <c r="H6" s="28">
        <v>27</v>
      </c>
      <c r="I6" s="29" t="s">
        <v>0</v>
      </c>
      <c r="J6" s="30">
        <v>25</v>
      </c>
      <c r="K6" s="28">
        <v>26</v>
      </c>
      <c r="L6" s="29" t="s">
        <v>0</v>
      </c>
      <c r="M6" s="30">
        <v>24</v>
      </c>
      <c r="N6" s="28">
        <v>22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>
        <v>15</v>
      </c>
      <c r="U6" s="29" t="s">
        <v>0</v>
      </c>
      <c r="V6" s="30">
        <v>11</v>
      </c>
      <c r="W6" s="31">
        <f t="shared" ref="W6:W13" si="0">SUM(H6,K6,N6,Q6,T6)</f>
        <v>110</v>
      </c>
      <c r="X6" s="29" t="s">
        <v>0</v>
      </c>
      <c r="Y6" s="32">
        <f t="shared" ref="Y6:Y13" si="1">SUM(J6,M6,P6,S6,V6)</f>
        <v>110</v>
      </c>
      <c r="AA6" s="12">
        <f>AD6+AE6</f>
        <v>5</v>
      </c>
      <c r="AB6" s="12" t="str">
        <f>IF(OR(D6="",F6=""),0,IF(D6&gt;F6,C6,G6))</f>
        <v> Netherlands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2</v>
      </c>
      <c r="AF6" s="12">
        <f>IF(AND(AD6=3,AE6=0),1,0)</f>
        <v>0</v>
      </c>
      <c r="AG6" s="12">
        <f>IF(AND(AD6=3,AE6=1),1,0)</f>
        <v>0</v>
      </c>
      <c r="AH6" s="12">
        <f>IF(AND(AD6=3,AE6=2),1,0)</f>
        <v>1</v>
      </c>
      <c r="AI6" s="12">
        <f>IF(D6&gt;F6,SUM(H6,K6,N6,Q6,T6,),SUM(J6,M6,P6,S6,V6))</f>
        <v>110</v>
      </c>
      <c r="AJ6" s="12">
        <f>IF(D6&gt;F6,SUM(J6,M6,P6,S6,V6),SUM(H6,K6,N6,Q6,T6))</f>
        <v>110</v>
      </c>
      <c r="AL6" s="12" t="str">
        <f>IF(OR(D6="",F6=""),0,IF(D6&lt;F6,C6,G6))</f>
        <v> Serbia</v>
      </c>
      <c r="AM6" s="12">
        <f>IF(OR(D6="",F6=""),0,1)</f>
        <v>1</v>
      </c>
      <c r="AN6" s="12">
        <f>IF(OR(D6="",F6=""),0,IF(D6&lt;F6,D6,F6))</f>
        <v>2</v>
      </c>
      <c r="AO6" s="12">
        <f>IF(OR(D6="",F6=""),0,IF(D6&lt;F6,F6,D6))</f>
        <v>3</v>
      </c>
      <c r="AP6" s="12">
        <f>IF(AND(AN6=2,AO6=3),1,0)</f>
        <v>1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110</v>
      </c>
      <c r="AT6" s="12">
        <f>IF(D6&lt;F6,SUM(J6,M6,P6,S6,V6),SUM(H6,K6,N6,Q6,T6))</f>
        <v>110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 Japan</v>
      </c>
      <c r="D7" s="48">
        <v>3</v>
      </c>
      <c r="E7" s="49" t="s">
        <v>0</v>
      </c>
      <c r="F7" s="47">
        <v>0</v>
      </c>
      <c r="G7" s="25" t="str">
        <f>IF(Preliminary!BA8&lt;3,"Runners-up of Pool A",Preliminary!AY8)</f>
        <v> Thailand</v>
      </c>
      <c r="H7" s="28">
        <v>25</v>
      </c>
      <c r="I7" s="29" t="s">
        <v>0</v>
      </c>
      <c r="J7" s="30">
        <v>20</v>
      </c>
      <c r="K7" s="28">
        <v>25</v>
      </c>
      <c r="L7" s="29" t="s">
        <v>0</v>
      </c>
      <c r="M7" s="30">
        <v>23</v>
      </c>
      <c r="N7" s="28">
        <v>25</v>
      </c>
      <c r="O7" s="29" t="s">
        <v>0</v>
      </c>
      <c r="P7" s="30">
        <v>23</v>
      </c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75</v>
      </c>
      <c r="X7" s="29" t="s">
        <v>0</v>
      </c>
      <c r="Y7" s="32">
        <f t="shared" si="1"/>
        <v>66</v>
      </c>
      <c r="AA7" s="12">
        <f t="shared" ref="AA7:AA13" si="2">AD7+AE7</f>
        <v>3</v>
      </c>
      <c r="AB7" s="12" t="str">
        <f t="shared" ref="AB7:AB13" si="3">IF(OR(D7="",F7=""),0,IF(D7&gt;F7,C7,G7))</f>
        <v> Japan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0</v>
      </c>
      <c r="AF7" s="12">
        <f t="shared" ref="AF7:AF13" si="7">IF(AND(AD7=3,AE7=0),1,0)</f>
        <v>1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75</v>
      </c>
      <c r="AJ7" s="12">
        <f t="shared" ref="AJ7:AJ13" si="11">IF(D7&gt;F7,SUM(J7,M7,P7,S7,V7),SUM(H7,K7,N7,Q7,T7))</f>
        <v>66</v>
      </c>
      <c r="AL7" s="12" t="str">
        <f t="shared" ref="AL7:AL13" si="12">IF(OR(D7="",F7=""),0,IF(D7&lt;F7,C7,G7))</f>
        <v> Thailand</v>
      </c>
      <c r="AM7" s="12">
        <f t="shared" ref="AM7:AM13" si="13">IF(OR(D7="",F7=""),0,1)</f>
        <v>1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3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1</v>
      </c>
      <c r="AS7" s="12">
        <f t="shared" ref="AS7:AS13" si="19">IF(D7&lt;F7,SUM(H7,K7,N7,Q7,T7,),SUM(J7,M7,P7,S7,V7))</f>
        <v>66</v>
      </c>
      <c r="AT7" s="12">
        <f t="shared" ref="AT7:AT13" si="20">IF(D7&lt;F7,SUM(J7,M7,P7,S7,V7),SUM(H7,K7,N7,Q7,T7))</f>
        <v>75</v>
      </c>
    </row>
    <row r="8" spans="2:67" x14ac:dyDescent="0.25">
      <c r="B8" s="23">
        <v>45899</v>
      </c>
      <c r="C8" s="24" t="str">
        <f>IF(Preliminary!BA15&lt;3,"Winner of Pool B",Preliminary!AY15)</f>
        <v> Italy</v>
      </c>
      <c r="D8" s="48">
        <v>3</v>
      </c>
      <c r="E8" s="49" t="s">
        <v>0</v>
      </c>
      <c r="F8" s="47">
        <v>0</v>
      </c>
      <c r="G8" s="25" t="str">
        <f>IF(Preliminary!BA56&lt;3,"Runners-up of Pool G",Preliminary!AY56)</f>
        <v> Germany</v>
      </c>
      <c r="H8" s="28">
        <v>25</v>
      </c>
      <c r="I8" s="29" t="s">
        <v>0</v>
      </c>
      <c r="J8" s="30">
        <v>22</v>
      </c>
      <c r="K8" s="28">
        <v>25</v>
      </c>
      <c r="L8" s="29" t="s">
        <v>0</v>
      </c>
      <c r="M8" s="30">
        <v>18</v>
      </c>
      <c r="N8" s="28">
        <v>25</v>
      </c>
      <c r="O8" s="29" t="s">
        <v>0</v>
      </c>
      <c r="P8" s="30">
        <v>11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51</v>
      </c>
      <c r="AA8" s="12">
        <f t="shared" si="2"/>
        <v>3</v>
      </c>
      <c r="AB8" s="12" t="str">
        <f t="shared" si="3"/>
        <v> Italy</v>
      </c>
      <c r="AC8" s="12">
        <f t="shared" si="4"/>
        <v>1</v>
      </c>
      <c r="AD8" s="12">
        <f t="shared" si="5"/>
        <v>3</v>
      </c>
      <c r="AE8" s="12">
        <f t="shared" si="6"/>
        <v>0</v>
      </c>
      <c r="AF8" s="12">
        <f t="shared" si="7"/>
        <v>1</v>
      </c>
      <c r="AG8" s="12">
        <f t="shared" si="8"/>
        <v>0</v>
      </c>
      <c r="AH8" s="12">
        <f t="shared" si="9"/>
        <v>0</v>
      </c>
      <c r="AI8" s="12">
        <f t="shared" si="10"/>
        <v>75</v>
      </c>
      <c r="AJ8" s="12">
        <f t="shared" si="11"/>
        <v>51</v>
      </c>
      <c r="AL8" s="12" t="str">
        <f t="shared" si="12"/>
        <v> Germany</v>
      </c>
      <c r="AM8" s="12">
        <f t="shared" si="13"/>
        <v>1</v>
      </c>
      <c r="AN8" s="12">
        <f t="shared" si="14"/>
        <v>0</v>
      </c>
      <c r="AO8" s="12">
        <f t="shared" si="15"/>
        <v>3</v>
      </c>
      <c r="AP8" s="12">
        <f t="shared" si="16"/>
        <v>0</v>
      </c>
      <c r="AQ8" s="12">
        <f t="shared" si="17"/>
        <v>0</v>
      </c>
      <c r="AR8" s="12">
        <f t="shared" si="18"/>
        <v>1</v>
      </c>
      <c r="AS8" s="12">
        <f t="shared" si="19"/>
        <v>51</v>
      </c>
      <c r="AT8" s="12">
        <f t="shared" si="20"/>
        <v>75</v>
      </c>
    </row>
    <row r="9" spans="2:67" x14ac:dyDescent="0.25">
      <c r="B9" s="23">
        <v>45899</v>
      </c>
      <c r="C9" s="24" t="str">
        <f>IF(Preliminary!BA55&lt;3,"Winner of Pool G",Preliminary!AY55)</f>
        <v> Poland</v>
      </c>
      <c r="D9" s="48">
        <v>3</v>
      </c>
      <c r="E9" s="49" t="s">
        <v>0</v>
      </c>
      <c r="F9" s="47">
        <v>2</v>
      </c>
      <c r="G9" s="25" t="str">
        <f>IF(Preliminary!BA16&lt;3,"Runners-up of Pool B",Preliminary!AY16)</f>
        <v> Belgium</v>
      </c>
      <c r="H9" s="28">
        <v>25</v>
      </c>
      <c r="I9" s="29" t="s">
        <v>0</v>
      </c>
      <c r="J9" s="30">
        <v>27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17</v>
      </c>
      <c r="Q9" s="28">
        <v>22</v>
      </c>
      <c r="R9" s="29" t="s">
        <v>0</v>
      </c>
      <c r="S9" s="30">
        <v>25</v>
      </c>
      <c r="T9" s="28">
        <v>15</v>
      </c>
      <c r="U9" s="29" t="s">
        <v>0</v>
      </c>
      <c r="V9" s="30">
        <v>10</v>
      </c>
      <c r="W9" s="31">
        <f t="shared" si="0"/>
        <v>112</v>
      </c>
      <c r="X9" s="29" t="s">
        <v>0</v>
      </c>
      <c r="Y9" s="32">
        <f t="shared" si="1"/>
        <v>99</v>
      </c>
      <c r="AA9" s="12">
        <f t="shared" si="2"/>
        <v>5</v>
      </c>
      <c r="AB9" s="12" t="str">
        <f t="shared" si="3"/>
        <v> Poland</v>
      </c>
      <c r="AC9" s="12">
        <f t="shared" si="4"/>
        <v>1</v>
      </c>
      <c r="AD9" s="12">
        <f t="shared" si="5"/>
        <v>3</v>
      </c>
      <c r="AE9" s="12">
        <f t="shared" si="6"/>
        <v>2</v>
      </c>
      <c r="AF9" s="12">
        <f t="shared" si="7"/>
        <v>0</v>
      </c>
      <c r="AG9" s="12">
        <f t="shared" si="8"/>
        <v>0</v>
      </c>
      <c r="AH9" s="12">
        <f t="shared" si="9"/>
        <v>1</v>
      </c>
      <c r="AI9" s="12">
        <f t="shared" si="10"/>
        <v>112</v>
      </c>
      <c r="AJ9" s="12">
        <f t="shared" si="11"/>
        <v>99</v>
      </c>
      <c r="AL9" s="12" t="str">
        <f t="shared" si="12"/>
        <v> Belgium</v>
      </c>
      <c r="AM9" s="12">
        <f t="shared" si="13"/>
        <v>1</v>
      </c>
      <c r="AN9" s="12">
        <f t="shared" si="14"/>
        <v>2</v>
      </c>
      <c r="AO9" s="12">
        <f t="shared" si="15"/>
        <v>3</v>
      </c>
      <c r="AP9" s="12">
        <f t="shared" si="16"/>
        <v>1</v>
      </c>
      <c r="AQ9" s="12">
        <f t="shared" si="17"/>
        <v>0</v>
      </c>
      <c r="AR9" s="12">
        <f t="shared" si="18"/>
        <v>0</v>
      </c>
      <c r="AS9" s="12">
        <f t="shared" si="19"/>
        <v>99</v>
      </c>
      <c r="AT9" s="12">
        <f t="shared" si="20"/>
        <v>112</v>
      </c>
    </row>
    <row r="10" spans="2:67" x14ac:dyDescent="0.25">
      <c r="B10" s="23">
        <v>45900</v>
      </c>
      <c r="C10" s="24" t="str">
        <f>IF(Preliminary!BA23&lt;3,"Winner of Pool C",Preliminary!AY23)</f>
        <v> Brazil</v>
      </c>
      <c r="D10" s="48">
        <v>3</v>
      </c>
      <c r="E10" s="49" t="s">
        <v>0</v>
      </c>
      <c r="F10" s="47">
        <v>1</v>
      </c>
      <c r="G10" s="25" t="str">
        <f>IF(Preliminary!BA48&lt;3,"Runners-up of Pool F",Preliminary!AY48)</f>
        <v> Dominican Republic</v>
      </c>
      <c r="H10" s="28">
        <v>18</v>
      </c>
      <c r="I10" s="29" t="s">
        <v>0</v>
      </c>
      <c r="J10" s="30">
        <v>25</v>
      </c>
      <c r="K10" s="28">
        <v>25</v>
      </c>
      <c r="L10" s="29" t="s">
        <v>0</v>
      </c>
      <c r="M10" s="30">
        <v>12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12</v>
      </c>
      <c r="T10" s="28"/>
      <c r="U10" s="29" t="s">
        <v>0</v>
      </c>
      <c r="V10" s="30"/>
      <c r="W10" s="31">
        <f t="shared" si="0"/>
        <v>93</v>
      </c>
      <c r="X10" s="29" t="s">
        <v>0</v>
      </c>
      <c r="Y10" s="32">
        <f t="shared" si="1"/>
        <v>69</v>
      </c>
      <c r="AA10" s="12">
        <f t="shared" si="2"/>
        <v>4</v>
      </c>
      <c r="AB10" s="12" t="str">
        <f t="shared" si="3"/>
        <v> Brazil</v>
      </c>
      <c r="AC10" s="12">
        <f t="shared" si="4"/>
        <v>1</v>
      </c>
      <c r="AD10" s="12">
        <f t="shared" si="5"/>
        <v>3</v>
      </c>
      <c r="AE10" s="12">
        <f t="shared" si="6"/>
        <v>1</v>
      </c>
      <c r="AF10" s="12">
        <f t="shared" si="7"/>
        <v>0</v>
      </c>
      <c r="AG10" s="12">
        <f t="shared" si="8"/>
        <v>1</v>
      </c>
      <c r="AH10" s="12">
        <f t="shared" si="9"/>
        <v>0</v>
      </c>
      <c r="AI10" s="12">
        <f t="shared" si="10"/>
        <v>93</v>
      </c>
      <c r="AJ10" s="12">
        <f t="shared" si="11"/>
        <v>69</v>
      </c>
      <c r="AL10" s="12" t="str">
        <f t="shared" si="12"/>
        <v> Dominican Republic</v>
      </c>
      <c r="AM10" s="12">
        <f t="shared" si="13"/>
        <v>1</v>
      </c>
      <c r="AN10" s="12">
        <f t="shared" si="14"/>
        <v>1</v>
      </c>
      <c r="AO10" s="12">
        <f t="shared" si="15"/>
        <v>3</v>
      </c>
      <c r="AP10" s="12">
        <f t="shared" si="16"/>
        <v>0</v>
      </c>
      <c r="AQ10" s="12">
        <f t="shared" si="17"/>
        <v>1</v>
      </c>
      <c r="AR10" s="12">
        <f t="shared" si="18"/>
        <v>0</v>
      </c>
      <c r="AS10" s="12">
        <f t="shared" si="19"/>
        <v>69</v>
      </c>
      <c r="AT10" s="12">
        <f t="shared" si="20"/>
        <v>93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 China</v>
      </c>
      <c r="D11" s="48">
        <v>1</v>
      </c>
      <c r="E11" s="49" t="s">
        <v>0</v>
      </c>
      <c r="F11" s="47">
        <v>3</v>
      </c>
      <c r="G11" s="25" t="str">
        <f>IF(Preliminary!BA24&lt;3,"Runners-up of Pool C",Preliminary!AY24)</f>
        <v> France</v>
      </c>
      <c r="H11" s="28">
        <v>20</v>
      </c>
      <c r="I11" s="29" t="s">
        <v>0</v>
      </c>
      <c r="J11" s="30">
        <v>25</v>
      </c>
      <c r="K11" s="28">
        <v>25</v>
      </c>
      <c r="L11" s="29" t="s">
        <v>0</v>
      </c>
      <c r="M11" s="30">
        <v>27</v>
      </c>
      <c r="N11" s="28">
        <v>25</v>
      </c>
      <c r="O11" s="29" t="s">
        <v>0</v>
      </c>
      <c r="P11" s="30">
        <v>22</v>
      </c>
      <c r="Q11" s="28">
        <v>20</v>
      </c>
      <c r="R11" s="29" t="s">
        <v>0</v>
      </c>
      <c r="S11" s="30">
        <v>25</v>
      </c>
      <c r="T11" s="28"/>
      <c r="U11" s="29" t="s">
        <v>0</v>
      </c>
      <c r="V11" s="30"/>
      <c r="W11" s="31">
        <f t="shared" si="0"/>
        <v>90</v>
      </c>
      <c r="X11" s="29" t="s">
        <v>0</v>
      </c>
      <c r="Y11" s="32">
        <f t="shared" si="1"/>
        <v>99</v>
      </c>
      <c r="AA11" s="12">
        <f t="shared" si="2"/>
        <v>4</v>
      </c>
      <c r="AB11" s="12" t="str">
        <f t="shared" si="3"/>
        <v> France</v>
      </c>
      <c r="AC11" s="12">
        <f t="shared" si="4"/>
        <v>1</v>
      </c>
      <c r="AD11" s="12">
        <f t="shared" si="5"/>
        <v>3</v>
      </c>
      <c r="AE11" s="12">
        <f t="shared" si="6"/>
        <v>1</v>
      </c>
      <c r="AF11" s="12">
        <f t="shared" si="7"/>
        <v>0</v>
      </c>
      <c r="AG11" s="12">
        <f t="shared" si="8"/>
        <v>1</v>
      </c>
      <c r="AH11" s="12">
        <f t="shared" si="9"/>
        <v>0</v>
      </c>
      <c r="AI11" s="12">
        <f t="shared" si="10"/>
        <v>99</v>
      </c>
      <c r="AJ11" s="12">
        <f t="shared" si="11"/>
        <v>90</v>
      </c>
      <c r="AL11" s="12" t="str">
        <f t="shared" si="12"/>
        <v> China</v>
      </c>
      <c r="AM11" s="12">
        <f t="shared" si="13"/>
        <v>1</v>
      </c>
      <c r="AN11" s="12">
        <f t="shared" si="14"/>
        <v>1</v>
      </c>
      <c r="AO11" s="12">
        <f t="shared" si="15"/>
        <v>3</v>
      </c>
      <c r="AP11" s="12">
        <f t="shared" si="16"/>
        <v>0</v>
      </c>
      <c r="AQ11" s="12">
        <f t="shared" si="17"/>
        <v>1</v>
      </c>
      <c r="AR11" s="12">
        <f t="shared" si="18"/>
        <v>0</v>
      </c>
      <c r="AS11" s="12">
        <f t="shared" si="19"/>
        <v>90</v>
      </c>
      <c r="AT11" s="12">
        <f t="shared" si="20"/>
        <v>99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 United States</v>
      </c>
      <c r="D12" s="48">
        <v>3</v>
      </c>
      <c r="E12" s="49" t="s">
        <v>0</v>
      </c>
      <c r="F12" s="47">
        <v>0</v>
      </c>
      <c r="G12" s="25" t="str">
        <f>IF(Preliminary!BA40&lt;3,"Runners-up of Pool E",Preliminary!AY40)</f>
        <v> Canada</v>
      </c>
      <c r="H12" s="28">
        <v>25</v>
      </c>
      <c r="I12" s="29" t="s">
        <v>0</v>
      </c>
      <c r="J12" s="30">
        <v>18</v>
      </c>
      <c r="K12" s="28">
        <v>25</v>
      </c>
      <c r="L12" s="29" t="s">
        <v>0</v>
      </c>
      <c r="M12" s="30">
        <v>21</v>
      </c>
      <c r="N12" s="28">
        <v>25</v>
      </c>
      <c r="O12" s="29" t="s">
        <v>0</v>
      </c>
      <c r="P12" s="30">
        <v>21</v>
      </c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75</v>
      </c>
      <c r="X12" s="29" t="s">
        <v>0</v>
      </c>
      <c r="Y12" s="32">
        <f t="shared" si="1"/>
        <v>60</v>
      </c>
      <c r="AA12" s="12">
        <f t="shared" si="2"/>
        <v>3</v>
      </c>
      <c r="AB12" s="12" t="str">
        <f t="shared" si="3"/>
        <v> United States</v>
      </c>
      <c r="AC12" s="12">
        <f t="shared" si="4"/>
        <v>1</v>
      </c>
      <c r="AD12" s="12">
        <f t="shared" si="5"/>
        <v>3</v>
      </c>
      <c r="AE12" s="12">
        <f t="shared" si="6"/>
        <v>0</v>
      </c>
      <c r="AF12" s="12">
        <f t="shared" si="7"/>
        <v>1</v>
      </c>
      <c r="AG12" s="12">
        <f t="shared" si="8"/>
        <v>0</v>
      </c>
      <c r="AH12" s="12">
        <f t="shared" si="9"/>
        <v>0</v>
      </c>
      <c r="AI12" s="12">
        <f t="shared" si="10"/>
        <v>75</v>
      </c>
      <c r="AJ12" s="12">
        <f t="shared" si="11"/>
        <v>60</v>
      </c>
      <c r="AL12" s="12" t="str">
        <f t="shared" si="12"/>
        <v> Canada</v>
      </c>
      <c r="AM12" s="12">
        <f t="shared" si="13"/>
        <v>1</v>
      </c>
      <c r="AN12" s="12">
        <f t="shared" si="14"/>
        <v>0</v>
      </c>
      <c r="AO12" s="12">
        <f t="shared" si="15"/>
        <v>3</v>
      </c>
      <c r="AP12" s="12">
        <f t="shared" si="16"/>
        <v>0</v>
      </c>
      <c r="AQ12" s="12">
        <f t="shared" si="17"/>
        <v>0</v>
      </c>
      <c r="AR12" s="12">
        <f t="shared" si="18"/>
        <v>1</v>
      </c>
      <c r="AS12" s="12">
        <f t="shared" si="19"/>
        <v>60</v>
      </c>
      <c r="AT12" s="12">
        <f t="shared" si="20"/>
        <v>75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 Turkey</v>
      </c>
      <c r="D13" s="48">
        <v>3</v>
      </c>
      <c r="E13" s="49" t="s">
        <v>0</v>
      </c>
      <c r="F13" s="47">
        <v>0</v>
      </c>
      <c r="G13" s="25" t="str">
        <f>IF(Preliminary!BA32&lt;3,"Runners-up of Pool D",Preliminary!AY32)</f>
        <v> Slovenia</v>
      </c>
      <c r="H13" s="28">
        <v>30</v>
      </c>
      <c r="I13" s="29" t="s">
        <v>0</v>
      </c>
      <c r="J13" s="30">
        <v>28</v>
      </c>
      <c r="K13" s="28">
        <v>25</v>
      </c>
      <c r="L13" s="29" t="s">
        <v>0</v>
      </c>
      <c r="M13" s="30">
        <v>13</v>
      </c>
      <c r="N13" s="28">
        <v>29</v>
      </c>
      <c r="O13" s="29" t="s">
        <v>0</v>
      </c>
      <c r="P13" s="30">
        <v>27</v>
      </c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84</v>
      </c>
      <c r="X13" s="29" t="s">
        <v>0</v>
      </c>
      <c r="Y13" s="32">
        <f t="shared" si="1"/>
        <v>68</v>
      </c>
      <c r="AA13" s="12">
        <f t="shared" si="2"/>
        <v>3</v>
      </c>
      <c r="AB13" s="12" t="str">
        <f t="shared" si="3"/>
        <v> Turkey</v>
      </c>
      <c r="AC13" s="12">
        <f t="shared" si="4"/>
        <v>1</v>
      </c>
      <c r="AD13" s="12">
        <f t="shared" si="5"/>
        <v>3</v>
      </c>
      <c r="AE13" s="12">
        <f t="shared" si="6"/>
        <v>0</v>
      </c>
      <c r="AF13" s="12">
        <f t="shared" si="7"/>
        <v>1</v>
      </c>
      <c r="AG13" s="12">
        <f t="shared" si="8"/>
        <v>0</v>
      </c>
      <c r="AH13" s="12">
        <f t="shared" si="9"/>
        <v>0</v>
      </c>
      <c r="AI13" s="12">
        <f t="shared" si="10"/>
        <v>84</v>
      </c>
      <c r="AJ13" s="12">
        <f t="shared" si="11"/>
        <v>68</v>
      </c>
      <c r="AL13" s="12" t="str">
        <f t="shared" si="12"/>
        <v> Slovenia</v>
      </c>
      <c r="AM13" s="12">
        <f t="shared" si="13"/>
        <v>1</v>
      </c>
      <c r="AN13" s="12">
        <f t="shared" si="14"/>
        <v>0</v>
      </c>
      <c r="AO13" s="12">
        <f t="shared" si="15"/>
        <v>3</v>
      </c>
      <c r="AP13" s="12">
        <f t="shared" si="16"/>
        <v>0</v>
      </c>
      <c r="AQ13" s="12">
        <f t="shared" si="17"/>
        <v>0</v>
      </c>
      <c r="AR13" s="12">
        <f t="shared" si="18"/>
        <v>1</v>
      </c>
      <c r="AS13" s="12">
        <f t="shared" si="19"/>
        <v>68</v>
      </c>
      <c r="AT13" s="12">
        <f t="shared" si="20"/>
        <v>84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103</v>
      </c>
      <c r="AV15" s="62"/>
    </row>
    <row r="16" spans="2:67" ht="12.75" customHeight="1" x14ac:dyDescent="0.25">
      <c r="B16" s="34" t="s">
        <v>86</v>
      </c>
      <c r="C16" s="35"/>
      <c r="D16" s="58" t="s">
        <v>87</v>
      </c>
      <c r="E16" s="58"/>
      <c r="F16" s="58"/>
      <c r="G16" s="36"/>
      <c r="H16" s="57" t="s">
        <v>88</v>
      </c>
      <c r="I16" s="56"/>
      <c r="J16" s="56"/>
      <c r="K16" s="57" t="s">
        <v>89</v>
      </c>
      <c r="L16" s="56"/>
      <c r="M16" s="56"/>
      <c r="N16" s="57" t="s">
        <v>90</v>
      </c>
      <c r="O16" s="56"/>
      <c r="P16" s="56"/>
      <c r="Q16" s="57" t="s">
        <v>91</v>
      </c>
      <c r="R16" s="56"/>
      <c r="S16" s="56"/>
      <c r="T16" s="57" t="s">
        <v>92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45903</v>
      </c>
      <c r="C17" s="24" t="str">
        <f>IF(AB6=0,"Winner R1",AB6)</f>
        <v> Netherlands</v>
      </c>
      <c r="D17" s="48">
        <v>2</v>
      </c>
      <c r="E17" s="49" t="s">
        <v>0</v>
      </c>
      <c r="F17" s="47">
        <v>3</v>
      </c>
      <c r="G17" s="25" t="str">
        <f>IF(AB7=0,"Winner R2",AB7)</f>
        <v> Japan</v>
      </c>
      <c r="H17" s="28">
        <v>25</v>
      </c>
      <c r="I17" s="29" t="s">
        <v>0</v>
      </c>
      <c r="J17" s="30">
        <v>20</v>
      </c>
      <c r="K17" s="28">
        <v>20</v>
      </c>
      <c r="L17" s="29" t="s">
        <v>0</v>
      </c>
      <c r="M17" s="30">
        <v>25</v>
      </c>
      <c r="N17" s="28">
        <v>25</v>
      </c>
      <c r="O17" s="29" t="s">
        <v>0</v>
      </c>
      <c r="P17" s="30">
        <v>22</v>
      </c>
      <c r="Q17" s="28">
        <v>22</v>
      </c>
      <c r="R17" s="29" t="s">
        <v>0</v>
      </c>
      <c r="S17" s="30">
        <v>25</v>
      </c>
      <c r="T17" s="28">
        <v>12</v>
      </c>
      <c r="U17" s="29" t="s">
        <v>0</v>
      </c>
      <c r="V17" s="30">
        <v>15</v>
      </c>
      <c r="W17" s="31">
        <f>SUM(H17,K17,N17,Q17,T17)</f>
        <v>104</v>
      </c>
      <c r="X17" s="29" t="s">
        <v>0</v>
      </c>
      <c r="Y17" s="32">
        <f>SUM(J17,M17,P17,S17,V17)</f>
        <v>107</v>
      </c>
      <c r="AA17" s="12">
        <f>AD17+AE17</f>
        <v>5</v>
      </c>
      <c r="AB17" s="12" t="str">
        <f>IF(OR(D17="",F17=""),0,IF(D17&gt;F17,C17,G17))</f>
        <v> Japan</v>
      </c>
      <c r="AC17" s="12">
        <f>IF(OR(D17="",F17=""),0,1)</f>
        <v>1</v>
      </c>
      <c r="AD17" s="12">
        <f>IF(OR(D17="",F17=""),0,IF(D17&gt;F17,D17,F17))</f>
        <v>3</v>
      </c>
      <c r="AE17" s="12">
        <f>IF(OR(D17="",F17=""),0,IF(D17&gt;F17,F17,D17))</f>
        <v>2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1</v>
      </c>
      <c r="AI17" s="12">
        <f>IF(D17&gt;F17,SUM(H17,K17,N17,Q17,T17,),SUM(J17,M17,P17,S17,V17))</f>
        <v>107</v>
      </c>
      <c r="AJ17" s="12">
        <f>IF(D17&gt;F17,SUM(J17,M17,P17,S17,V17),SUM(H17,K17,N17,Q17,T17))</f>
        <v>104</v>
      </c>
      <c r="AL17" s="12" t="str">
        <f>IF(OR(D17="",F17=""),0,IF(D17&lt;F17,C17,G17))</f>
        <v> Netherlands</v>
      </c>
      <c r="AM17" s="12">
        <f>IF(OR(D17="",F17=""),0,1)</f>
        <v>1</v>
      </c>
      <c r="AN17" s="12">
        <f>IF(OR(D17="",F17=""),0,IF(D17&lt;F17,D17,F17))</f>
        <v>2</v>
      </c>
      <c r="AO17" s="12">
        <f>IF(OR(D17="",F17=""),0,IF(D17&lt;F17,F17,D17))</f>
        <v>3</v>
      </c>
      <c r="AP17" s="12">
        <f>IF(AND(AN17=2,AO17=3),1,0)</f>
        <v>1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104</v>
      </c>
      <c r="AT17" s="12">
        <f>IF(D17&lt;F17,SUM(J17,M17,P17,S17,V17),SUM(H17,K17,N17,Q17,T17))</f>
        <v>107</v>
      </c>
      <c r="AU17" s="65" t="s">
        <v>42</v>
      </c>
      <c r="AV17" s="66"/>
    </row>
    <row r="18" spans="2:64" ht="12.75" customHeight="1" x14ac:dyDescent="0.25">
      <c r="B18" s="23">
        <v>45903</v>
      </c>
      <c r="C18" s="24" t="str">
        <f>IF(AB8=0,"Winner R3",AB8)</f>
        <v> Italy</v>
      </c>
      <c r="D18" s="48">
        <v>3</v>
      </c>
      <c r="E18" s="49" t="s">
        <v>0</v>
      </c>
      <c r="F18" s="47">
        <v>0</v>
      </c>
      <c r="G18" s="25" t="str">
        <f>IF(AB9=0,"Winner R4",AB9)</f>
        <v> Poland</v>
      </c>
      <c r="H18" s="28">
        <v>25</v>
      </c>
      <c r="I18" s="29" t="s">
        <v>0</v>
      </c>
      <c r="J18" s="30">
        <v>17</v>
      </c>
      <c r="K18" s="28">
        <v>25</v>
      </c>
      <c r="L18" s="29" t="s">
        <v>0</v>
      </c>
      <c r="M18" s="30">
        <v>21</v>
      </c>
      <c r="N18" s="28">
        <v>25</v>
      </c>
      <c r="O18" s="29" t="s">
        <v>0</v>
      </c>
      <c r="P18" s="30">
        <v>18</v>
      </c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75</v>
      </c>
      <c r="X18" s="29" t="s">
        <v>0</v>
      </c>
      <c r="Y18" s="32">
        <f>SUM(J18,M18,P18,S18,V18)</f>
        <v>56</v>
      </c>
      <c r="AA18" s="12">
        <f t="shared" ref="AA18:AA20" si="21">AD18+AE18</f>
        <v>3</v>
      </c>
      <c r="AB18" s="12" t="str">
        <f t="shared" ref="AB18:AB20" si="22">IF(OR(D18="",F18=""),0,IF(D18&gt;F18,C18,G18))</f>
        <v> Italy</v>
      </c>
      <c r="AC18" s="12">
        <f t="shared" ref="AC18:AC20" si="23">IF(OR(D18="",F18=""),0,1)</f>
        <v>1</v>
      </c>
      <c r="AD18" s="12">
        <f t="shared" ref="AD18:AD20" si="24">IF(OR(D18="",F18=""),0,IF(D18&gt;F18,D18,F18))</f>
        <v>3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1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75</v>
      </c>
      <c r="AJ18" s="12">
        <f t="shared" ref="AJ18:AJ20" si="30">IF(D18&gt;F18,SUM(J18,M18,P18,S18,V18),SUM(H18,K18,N18,Q18,T18))</f>
        <v>56</v>
      </c>
      <c r="AL18" s="12" t="str">
        <f t="shared" ref="AL18:AL20" si="31">IF(OR(D18="",F18=""),0,IF(D18&lt;F18,C18,G18))</f>
        <v> Poland</v>
      </c>
      <c r="AM18" s="12">
        <f t="shared" ref="AM18:AM20" si="32">IF(OR(D18="",F18=""),0,1)</f>
        <v>1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3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1</v>
      </c>
      <c r="AS18" s="12">
        <f t="shared" ref="AS18:AS20" si="38">IF(D18&lt;F18,SUM(H18,K18,N18,Q18,T18,),SUM(J18,M18,P18,S18,V18))</f>
        <v>56</v>
      </c>
      <c r="AT18" s="12">
        <f t="shared" ref="AT18:AT20" si="39">IF(D18&lt;F18,SUM(J18,M18,P18,S18,V18),SUM(H18,K18,N18,Q18,T18))</f>
        <v>75</v>
      </c>
      <c r="AU18" s="65" t="s">
        <v>43</v>
      </c>
      <c r="AV18" s="66"/>
    </row>
    <row r="19" spans="2:64" ht="12.75" customHeight="1" x14ac:dyDescent="0.25">
      <c r="B19" s="23">
        <v>45904</v>
      </c>
      <c r="C19" s="24" t="str">
        <f>IF(AB10=0,"Winner R5",AB10)</f>
        <v> Brazil</v>
      </c>
      <c r="D19" s="48"/>
      <c r="E19" s="49" t="s">
        <v>0</v>
      </c>
      <c r="F19" s="47"/>
      <c r="G19" s="25" t="str">
        <f>IF(AB11=0,"Winner R6",AB11)</f>
        <v> France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5" t="s">
        <v>44</v>
      </c>
      <c r="AV19" s="66"/>
    </row>
    <row r="20" spans="2:64" ht="12.75" customHeight="1" x14ac:dyDescent="0.25">
      <c r="B20" s="23">
        <v>45904</v>
      </c>
      <c r="C20" s="24" t="str">
        <f>IF(AB12=0,"Winner R7",AB12)</f>
        <v> United States</v>
      </c>
      <c r="D20" s="48"/>
      <c r="E20" s="49" t="s">
        <v>0</v>
      </c>
      <c r="F20" s="47"/>
      <c r="G20" s="25" t="str">
        <f>IF(AB13=0,"Winner R8",AB13)</f>
        <v> Turkey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58" t="s">
        <v>87</v>
      </c>
      <c r="E23" s="58"/>
      <c r="F23" s="58"/>
      <c r="G23" s="36"/>
      <c r="H23" s="57" t="s">
        <v>88</v>
      </c>
      <c r="I23" s="56"/>
      <c r="J23" s="56"/>
      <c r="K23" s="57" t="s">
        <v>89</v>
      </c>
      <c r="L23" s="56"/>
      <c r="M23" s="56"/>
      <c r="N23" s="57" t="s">
        <v>90</v>
      </c>
      <c r="O23" s="56"/>
      <c r="P23" s="56"/>
      <c r="Q23" s="57" t="s">
        <v>91</v>
      </c>
      <c r="R23" s="56"/>
      <c r="S23" s="56"/>
      <c r="T23" s="57" t="s">
        <v>92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 Japan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 Italy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58" t="s">
        <v>87</v>
      </c>
      <c r="E29" s="58"/>
      <c r="F29" s="58"/>
      <c r="G29" s="36"/>
      <c r="H29" s="57" t="s">
        <v>88</v>
      </c>
      <c r="I29" s="56"/>
      <c r="J29" s="56"/>
      <c r="K29" s="57" t="s">
        <v>89</v>
      </c>
      <c r="L29" s="56"/>
      <c r="M29" s="56"/>
      <c r="N29" s="57" t="s">
        <v>90</v>
      </c>
      <c r="O29" s="56"/>
      <c r="P29" s="56"/>
      <c r="Q29" s="57" t="s">
        <v>91</v>
      </c>
      <c r="R29" s="56"/>
      <c r="S29" s="56"/>
      <c r="T29" s="57" t="s">
        <v>92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58" t="s">
        <v>87</v>
      </c>
      <c r="E34" s="58"/>
      <c r="F34" s="58"/>
      <c r="G34" s="36"/>
      <c r="H34" s="57" t="s">
        <v>88</v>
      </c>
      <c r="I34" s="56"/>
      <c r="J34" s="56"/>
      <c r="K34" s="57" t="s">
        <v>89</v>
      </c>
      <c r="L34" s="56"/>
      <c r="M34" s="56"/>
      <c r="N34" s="57" t="s">
        <v>90</v>
      </c>
      <c r="O34" s="56"/>
      <c r="P34" s="56"/>
      <c r="Q34" s="57" t="s">
        <v>91</v>
      </c>
      <c r="R34" s="56"/>
      <c r="S34" s="56"/>
      <c r="T34" s="57" t="s">
        <v>92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dc8c2798-6aba-4af7-93a4-b89253b03650"/>
    <ds:schemaRef ds:uri="http://schemas.openxmlformats.org/package/2006/metadata/core-properties"/>
    <ds:schemaRef ds:uri="http://purl.org/dc/dcmitype/"/>
    <ds:schemaRef ds:uri="http://www.w3.org/XML/1998/namespace"/>
    <ds:schemaRef ds:uri="2c8c20e6-817c-474f-b9c2-eb2b1ac24837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2025-09-03T14:49:15Z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