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unior\Downloads\"/>
    </mc:Choice>
  </mc:AlternateContent>
  <xr:revisionPtr revIDLastSave="0" documentId="8_{2F7E8A6C-B9E9-41A4-8728-BB29611283FB}" xr6:coauthVersionLast="36" xr6:coauthVersionMax="36" xr10:uidLastSave="{00000000-0000-0000-0000-000000000000}"/>
  <bookViews>
    <workbookView xWindow="-24120" yWindow="1185" windowWidth="24240" windowHeight="13020" activeTab="2" xr2:uid="{076F3B28-812E-4458-A424-96085A053123}"/>
  </bookViews>
  <sheets>
    <sheet name="Classificados" sheetId="1" r:id="rId1"/>
    <sheet name="Sorteios" sheetId="2" r:id="rId2"/>
    <sheet name="Fase de Grupos" sheetId="3" r:id="rId3"/>
    <sheet name="Finai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4" i="4" l="1"/>
  <c r="E37" i="4" s="1"/>
  <c r="M33" i="4"/>
  <c r="E36" i="4" s="1"/>
  <c r="L33" i="4"/>
  <c r="M29" i="4"/>
  <c r="M28" i="4"/>
  <c r="M27" i="4"/>
  <c r="K33" i="4" s="1"/>
  <c r="L27" i="4"/>
  <c r="M26" i="4"/>
  <c r="E33" i="4" s="1"/>
  <c r="L26" i="4"/>
  <c r="M21" i="4"/>
  <c r="K27" i="4" s="1"/>
  <c r="L21" i="4"/>
  <c r="M20" i="4"/>
  <c r="E27" i="4" s="1"/>
  <c r="L20" i="4"/>
  <c r="M19" i="4"/>
  <c r="K26" i="4" s="1"/>
  <c r="L19" i="4"/>
  <c r="M18" i="4"/>
  <c r="E26" i="4" s="1"/>
  <c r="L18" i="4"/>
  <c r="M13" i="4"/>
  <c r="K21" i="4" s="1"/>
  <c r="L13" i="4"/>
  <c r="M12" i="4"/>
  <c r="E21" i="4" s="1"/>
  <c r="L12" i="4"/>
  <c r="M11" i="4"/>
  <c r="K19" i="4" s="1"/>
  <c r="L11" i="4"/>
  <c r="M10" i="4"/>
  <c r="E19" i="4" s="1"/>
  <c r="L10" i="4"/>
  <c r="M9" i="4"/>
  <c r="K20" i="4" s="1"/>
  <c r="L9" i="4"/>
  <c r="M8" i="4"/>
  <c r="E20" i="4" s="1"/>
  <c r="L8" i="4"/>
  <c r="M7" i="4"/>
  <c r="K18" i="4" s="1"/>
  <c r="L7" i="4"/>
  <c r="M6" i="4"/>
  <c r="E18" i="4" s="1"/>
  <c r="L6" i="4"/>
  <c r="P6" i="3" l="1"/>
  <c r="E8" i="3" s="1"/>
  <c r="P7" i="3"/>
  <c r="I5" i="3" s="1"/>
  <c r="P8" i="3"/>
  <c r="E7" i="3" s="1"/>
  <c r="P5" i="3"/>
  <c r="I7" i="3" s="1"/>
  <c r="P47" i="3"/>
  <c r="I49" i="3" s="1"/>
  <c r="P48" i="3"/>
  <c r="E50" i="3" s="1"/>
  <c r="P49" i="3"/>
  <c r="I50" i="3" s="1"/>
  <c r="P50" i="3"/>
  <c r="E49" i="3" s="1"/>
  <c r="P42" i="3"/>
  <c r="E44" i="3" s="1"/>
  <c r="P43" i="3"/>
  <c r="E40" i="3" s="1"/>
  <c r="P44" i="3"/>
  <c r="E42" i="3" s="1"/>
  <c r="P41" i="3"/>
  <c r="I43" i="3" s="1"/>
  <c r="P36" i="3"/>
  <c r="I36" i="3" s="1"/>
  <c r="P37" i="3"/>
  <c r="E34" i="3" s="1"/>
  <c r="P38" i="3"/>
  <c r="E37" i="3" s="1"/>
  <c r="P35" i="3"/>
  <c r="E35" i="3" s="1"/>
  <c r="P30" i="3"/>
  <c r="I30" i="3" s="1"/>
  <c r="P31" i="3"/>
  <c r="I32" i="3" s="1"/>
  <c r="P32" i="3"/>
  <c r="I28" i="3" s="1"/>
  <c r="P29" i="3"/>
  <c r="E27" i="3" s="1"/>
  <c r="P24" i="3"/>
  <c r="I21" i="3" s="1"/>
  <c r="P25" i="3"/>
  <c r="E22" i="3" s="1"/>
  <c r="P26" i="3"/>
  <c r="E25" i="3" s="1"/>
  <c r="P23" i="3"/>
  <c r="I25" i="3" s="1"/>
  <c r="P18" i="3"/>
  <c r="I15" i="3" s="1"/>
  <c r="P19" i="3"/>
  <c r="E16" i="3" s="1"/>
  <c r="P20" i="3"/>
  <c r="E19" i="3" s="1"/>
  <c r="P17" i="3"/>
  <c r="E17" i="3" s="1"/>
  <c r="P12" i="3"/>
  <c r="E14" i="3" s="1"/>
  <c r="P13" i="3"/>
  <c r="E10" i="3" s="1"/>
  <c r="P14" i="3"/>
  <c r="E13" i="3" s="1"/>
  <c r="P11" i="3"/>
  <c r="E9" i="3" s="1"/>
  <c r="M50" i="3"/>
  <c r="J50" i="3"/>
  <c r="K50" i="3" s="1"/>
  <c r="M49" i="3"/>
  <c r="J49" i="3"/>
  <c r="K49" i="3" s="1"/>
  <c r="M48" i="3"/>
  <c r="J48" i="3"/>
  <c r="K48" i="3" s="1"/>
  <c r="M47" i="3"/>
  <c r="J47" i="3"/>
  <c r="K47" i="3" s="1"/>
  <c r="M46" i="3"/>
  <c r="J46" i="3"/>
  <c r="K46" i="3" s="1"/>
  <c r="M45" i="3"/>
  <c r="J45" i="3"/>
  <c r="K45" i="3" s="1"/>
  <c r="E45" i="3"/>
  <c r="M44" i="3"/>
  <c r="J44" i="3"/>
  <c r="K44" i="3" s="1"/>
  <c r="M43" i="3"/>
  <c r="J43" i="3"/>
  <c r="K43" i="3" s="1"/>
  <c r="M42" i="3"/>
  <c r="J42" i="3"/>
  <c r="K42" i="3" s="1"/>
  <c r="M41" i="3"/>
  <c r="J41" i="3"/>
  <c r="K41" i="3" s="1"/>
  <c r="M40" i="3"/>
  <c r="J40" i="3"/>
  <c r="K40" i="3" s="1"/>
  <c r="M39" i="3"/>
  <c r="J39" i="3"/>
  <c r="K39" i="3" s="1"/>
  <c r="M38" i="3"/>
  <c r="J38" i="3"/>
  <c r="K38" i="3" s="1"/>
  <c r="M37" i="3"/>
  <c r="J37" i="3"/>
  <c r="K37" i="3" s="1"/>
  <c r="I37" i="3"/>
  <c r="M36" i="3"/>
  <c r="J36" i="3"/>
  <c r="K36" i="3" s="1"/>
  <c r="M35" i="3"/>
  <c r="J35" i="3"/>
  <c r="K35" i="3" s="1"/>
  <c r="M34" i="3"/>
  <c r="K34" i="3"/>
  <c r="J34" i="3"/>
  <c r="M33" i="3"/>
  <c r="J33" i="3"/>
  <c r="K33" i="3" s="1"/>
  <c r="E33" i="3"/>
  <c r="M32" i="3"/>
  <c r="J32" i="3"/>
  <c r="K32" i="3" s="1"/>
  <c r="M31" i="3"/>
  <c r="J31" i="3"/>
  <c r="K31" i="3" s="1"/>
  <c r="I31" i="3"/>
  <c r="M30" i="3"/>
  <c r="J30" i="3"/>
  <c r="K30" i="3" s="1"/>
  <c r="M29" i="3"/>
  <c r="J29" i="3"/>
  <c r="K29" i="3" s="1"/>
  <c r="M28" i="3"/>
  <c r="J28" i="3"/>
  <c r="K28" i="3" s="1"/>
  <c r="M27" i="3"/>
  <c r="J27" i="3"/>
  <c r="K27" i="3" s="1"/>
  <c r="M26" i="3"/>
  <c r="J26" i="3"/>
  <c r="K26" i="3" s="1"/>
  <c r="M25" i="3"/>
  <c r="J25" i="3"/>
  <c r="K25" i="3" s="1"/>
  <c r="M24" i="3"/>
  <c r="J24" i="3"/>
  <c r="K24" i="3" s="1"/>
  <c r="M23" i="3"/>
  <c r="J23" i="3"/>
  <c r="K23" i="3" s="1"/>
  <c r="M22" i="3"/>
  <c r="J22" i="3"/>
  <c r="K22" i="3" s="1"/>
  <c r="M21" i="3"/>
  <c r="J21" i="3"/>
  <c r="K21" i="3" s="1"/>
  <c r="M20" i="3"/>
  <c r="K20" i="3"/>
  <c r="J20" i="3"/>
  <c r="M19" i="3"/>
  <c r="K19" i="3"/>
  <c r="J19" i="3"/>
  <c r="M18" i="3"/>
  <c r="J18" i="3"/>
  <c r="K18" i="3" s="1"/>
  <c r="M17" i="3"/>
  <c r="J17" i="3"/>
  <c r="K17" i="3" s="1"/>
  <c r="M16" i="3"/>
  <c r="J16" i="3"/>
  <c r="K16" i="3" s="1"/>
  <c r="M15" i="3"/>
  <c r="J15" i="3"/>
  <c r="K15" i="3" s="1"/>
  <c r="M14" i="3"/>
  <c r="J14" i="3"/>
  <c r="K14" i="3" s="1"/>
  <c r="I14" i="3"/>
  <c r="M13" i="3"/>
  <c r="J13" i="3"/>
  <c r="K13" i="3" s="1"/>
  <c r="M12" i="3"/>
  <c r="J12" i="3"/>
  <c r="K12" i="3" s="1"/>
  <c r="M11" i="3"/>
  <c r="K11" i="3"/>
  <c r="J11" i="3"/>
  <c r="I11" i="3"/>
  <c r="E11" i="3"/>
  <c r="L11" i="3" s="1"/>
  <c r="M10" i="3"/>
  <c r="J10" i="3"/>
  <c r="K10" i="3" s="1"/>
  <c r="M9" i="3"/>
  <c r="J9" i="3"/>
  <c r="K9" i="3" s="1"/>
  <c r="M8" i="3"/>
  <c r="J8" i="3"/>
  <c r="K8" i="3" s="1"/>
  <c r="I8" i="3"/>
  <c r="M7" i="3"/>
  <c r="J7" i="3"/>
  <c r="K7" i="3" s="1"/>
  <c r="M6" i="3"/>
  <c r="J6" i="3"/>
  <c r="K6" i="3" s="1"/>
  <c r="M5" i="3"/>
  <c r="J5" i="3"/>
  <c r="K5" i="3" s="1"/>
  <c r="M3" i="3"/>
  <c r="L42" i="3" l="1"/>
  <c r="L40" i="3"/>
  <c r="L49" i="3"/>
  <c r="L50" i="3"/>
  <c r="L45" i="3"/>
  <c r="L44" i="3"/>
  <c r="L33" i="3"/>
  <c r="L35" i="3"/>
  <c r="L37" i="3"/>
  <c r="L34" i="3"/>
  <c r="L27" i="3"/>
  <c r="L25" i="3"/>
  <c r="L22" i="3"/>
  <c r="L17" i="3"/>
  <c r="L19" i="3"/>
  <c r="L16" i="3"/>
  <c r="L13" i="3"/>
  <c r="L14" i="3"/>
  <c r="E31" i="3"/>
  <c r="L31" i="3" s="1"/>
  <c r="I45" i="3"/>
  <c r="I23" i="3"/>
  <c r="I4" i="3"/>
  <c r="M4" i="3" s="1"/>
  <c r="U30" i="3" s="1"/>
  <c r="E6" i="3"/>
  <c r="L6" i="3" s="1"/>
  <c r="I6" i="3"/>
  <c r="I3" i="3"/>
  <c r="E5" i="3"/>
  <c r="L5" i="3" s="1"/>
  <c r="I47" i="3"/>
  <c r="I48" i="3"/>
  <c r="E47" i="3"/>
  <c r="L47" i="3" s="1"/>
  <c r="E30" i="3"/>
  <c r="L30" i="3" s="1"/>
  <c r="E28" i="3"/>
  <c r="L28" i="3" s="1"/>
  <c r="I29" i="3"/>
  <c r="E32" i="3"/>
  <c r="L32" i="3" s="1"/>
  <c r="I27" i="3"/>
  <c r="I26" i="3"/>
  <c r="E26" i="3"/>
  <c r="L26" i="3" s="1"/>
  <c r="E15" i="3"/>
  <c r="L15" i="3" s="1"/>
  <c r="E12" i="3"/>
  <c r="L12" i="3" s="1"/>
  <c r="I10" i="3"/>
  <c r="I9" i="3"/>
  <c r="I12" i="3"/>
  <c r="I13" i="3"/>
  <c r="E4" i="3"/>
  <c r="J4" i="3" s="1"/>
  <c r="K4" i="3" s="1"/>
  <c r="I42" i="3"/>
  <c r="I24" i="3"/>
  <c r="E29" i="3"/>
  <c r="L29" i="3" s="1"/>
  <c r="E48" i="3"/>
  <c r="L48" i="3" s="1"/>
  <c r="E20" i="3"/>
  <c r="L20" i="3" s="1"/>
  <c r="E46" i="3"/>
  <c r="L46" i="3" s="1"/>
  <c r="E38" i="3"/>
  <c r="L38" i="3" s="1"/>
  <c r="I18" i="3"/>
  <c r="I33" i="3"/>
  <c r="I39" i="3"/>
  <c r="E43" i="3"/>
  <c r="L43" i="3" s="1"/>
  <c r="I46" i="3"/>
  <c r="E24" i="3"/>
  <c r="L24" i="3" s="1"/>
  <c r="I40" i="3"/>
  <c r="I22" i="3"/>
  <c r="I41" i="3"/>
  <c r="L10" i="3"/>
  <c r="L9" i="3"/>
  <c r="I17" i="3"/>
  <c r="I20" i="3"/>
  <c r="E18" i="3"/>
  <c r="L18" i="3" s="1"/>
  <c r="I35" i="3"/>
  <c r="L8" i="3"/>
  <c r="E23" i="3"/>
  <c r="L23" i="3" s="1"/>
  <c r="E41" i="3"/>
  <c r="L41" i="3" s="1"/>
  <c r="E21" i="3"/>
  <c r="L21" i="3" s="1"/>
  <c r="I34" i="3"/>
  <c r="I16" i="3"/>
  <c r="E39" i="3"/>
  <c r="L39" i="3" s="1"/>
  <c r="L7" i="3"/>
  <c r="U25" i="3"/>
  <c r="U37" i="3"/>
  <c r="U43" i="3"/>
  <c r="U20" i="3"/>
  <c r="U38" i="3"/>
  <c r="U44" i="3"/>
  <c r="U50" i="3"/>
  <c r="U8" i="3"/>
  <c r="U7" i="3"/>
  <c r="U6" i="3"/>
  <c r="U5" i="3"/>
  <c r="I44" i="3"/>
  <c r="I38" i="3"/>
  <c r="E36" i="3"/>
  <c r="L36" i="3" s="1"/>
  <c r="I19" i="3"/>
  <c r="E3" i="3"/>
  <c r="U49" i="3" l="1"/>
  <c r="U31" i="3"/>
  <c r="U36" i="3"/>
  <c r="U24" i="3"/>
  <c r="U12" i="3"/>
  <c r="U47" i="3"/>
  <c r="U35" i="3"/>
  <c r="L4" i="3"/>
  <c r="U32" i="3"/>
  <c r="U18" i="3"/>
  <c r="U41" i="3"/>
  <c r="U19" i="3"/>
  <c r="U29" i="3"/>
  <c r="U13" i="3"/>
  <c r="U23" i="3"/>
  <c r="U48" i="3"/>
  <c r="U17" i="3"/>
  <c r="U42" i="3"/>
  <c r="U11" i="3"/>
  <c r="U14" i="3"/>
  <c r="U26" i="3"/>
  <c r="V11" i="3"/>
  <c r="V25" i="3"/>
  <c r="V23" i="3"/>
  <c r="V26" i="3"/>
  <c r="V7" i="3"/>
  <c r="V18" i="3"/>
  <c r="W20" i="3"/>
  <c r="W17" i="3"/>
  <c r="W23" i="3"/>
  <c r="W13" i="3"/>
  <c r="W25" i="3"/>
  <c r="W18" i="3"/>
  <c r="V12" i="3"/>
  <c r="V19" i="3"/>
  <c r="W26" i="3"/>
  <c r="V14" i="3"/>
  <c r="V24" i="3"/>
  <c r="V8" i="3"/>
  <c r="W11" i="3"/>
  <c r="V6" i="3"/>
  <c r="V17" i="3"/>
  <c r="W24" i="3"/>
  <c r="W12" i="3"/>
  <c r="V20" i="3"/>
  <c r="W6" i="3"/>
  <c r="W8" i="3"/>
  <c r="W7" i="3"/>
  <c r="X7" i="3" s="1"/>
  <c r="W14" i="3"/>
  <c r="X14" i="3" s="1"/>
  <c r="W19" i="3"/>
  <c r="V13" i="3"/>
  <c r="L3" i="3"/>
  <c r="J3" i="3"/>
  <c r="W5" i="3"/>
  <c r="V5" i="3"/>
  <c r="V41" i="3"/>
  <c r="W31" i="3"/>
  <c r="V44" i="3"/>
  <c r="V42" i="3"/>
  <c r="W36" i="3"/>
  <c r="V32" i="3"/>
  <c r="W49" i="3"/>
  <c r="V31" i="3"/>
  <c r="V48" i="3"/>
  <c r="W44" i="3"/>
  <c r="V50" i="3"/>
  <c r="W41" i="3"/>
  <c r="V49" i="3"/>
  <c r="W50" i="3"/>
  <c r="V29" i="3"/>
  <c r="W48" i="3"/>
  <c r="W32" i="3"/>
  <c r="V36" i="3"/>
  <c r="W43" i="3"/>
  <c r="W37" i="3"/>
  <c r="W29" i="3"/>
  <c r="W42" i="3"/>
  <c r="W38" i="3"/>
  <c r="V43" i="3"/>
  <c r="W47" i="3"/>
  <c r="V38" i="3"/>
  <c r="V47" i="3"/>
  <c r="W35" i="3"/>
  <c r="V35" i="3"/>
  <c r="V30" i="3"/>
  <c r="W30" i="3"/>
  <c r="V37" i="3"/>
  <c r="X20" i="3" l="1"/>
  <c r="X26" i="3"/>
  <c r="X11" i="3"/>
  <c r="X24" i="3"/>
  <c r="X18" i="3"/>
  <c r="X19" i="3"/>
  <c r="X17" i="3"/>
  <c r="X25" i="3"/>
  <c r="X12" i="3"/>
  <c r="X23" i="3"/>
  <c r="X13" i="3"/>
  <c r="X6" i="3"/>
  <c r="X8" i="3"/>
  <c r="X36" i="3"/>
  <c r="S13" i="3"/>
  <c r="S44" i="3"/>
  <c r="S29" i="3"/>
  <c r="S30" i="3"/>
  <c r="S19" i="3"/>
  <c r="S50" i="3"/>
  <c r="S25" i="3"/>
  <c r="S41" i="3"/>
  <c r="S12" i="3"/>
  <c r="S31" i="3"/>
  <c r="S47" i="3"/>
  <c r="S26" i="3"/>
  <c r="S37" i="3"/>
  <c r="S11" i="3"/>
  <c r="S18" i="3"/>
  <c r="S43" i="3"/>
  <c r="S36" i="3"/>
  <c r="S49" i="3"/>
  <c r="S20" i="3"/>
  <c r="S14" i="3"/>
  <c r="S42" i="3"/>
  <c r="S32" i="3"/>
  <c r="S17" i="3"/>
  <c r="S24" i="3"/>
  <c r="S48" i="3"/>
  <c r="S38" i="3"/>
  <c r="S23" i="3"/>
  <c r="S35" i="3"/>
  <c r="X44" i="3"/>
  <c r="X5" i="3"/>
  <c r="X31" i="3"/>
  <c r="X41" i="3"/>
  <c r="S6" i="3"/>
  <c r="S7" i="3"/>
  <c r="S8" i="3"/>
  <c r="S5" i="3"/>
  <c r="K3" i="3"/>
  <c r="X35" i="3"/>
  <c r="X42" i="3"/>
  <c r="X50" i="3"/>
  <c r="X48" i="3"/>
  <c r="X47" i="3"/>
  <c r="X43" i="3"/>
  <c r="X32" i="3"/>
  <c r="X37" i="3"/>
  <c r="X49" i="3"/>
  <c r="X38" i="3"/>
  <c r="X30" i="3"/>
  <c r="X29" i="3"/>
  <c r="T23" i="3" l="1"/>
  <c r="T20" i="3"/>
  <c r="Q20" i="3" s="1"/>
  <c r="T38" i="3"/>
  <c r="T49" i="3"/>
  <c r="T36" i="3"/>
  <c r="T18" i="3"/>
  <c r="Q18" i="3" s="1"/>
  <c r="T14" i="3"/>
  <c r="R14" i="3" s="1"/>
  <c r="T25" i="3"/>
  <c r="Q25" i="3" s="1"/>
  <c r="T29" i="3"/>
  <c r="T42" i="3"/>
  <c r="T17" i="3"/>
  <c r="Q17" i="3" s="1"/>
  <c r="T43" i="3"/>
  <c r="T48" i="3"/>
  <c r="Q48" i="3" s="1"/>
  <c r="T35" i="3"/>
  <c r="T32" i="3"/>
  <c r="T47" i="3"/>
  <c r="T31" i="3"/>
  <c r="T50" i="3"/>
  <c r="R50" i="3" s="1"/>
  <c r="T37" i="3"/>
  <c r="T30" i="3"/>
  <c r="Q30" i="3" s="1"/>
  <c r="T12" i="3"/>
  <c r="T13" i="3"/>
  <c r="T44" i="3"/>
  <c r="T11" i="3"/>
  <c r="T41" i="3"/>
  <c r="T26" i="3"/>
  <c r="T19" i="3"/>
  <c r="T24" i="3"/>
  <c r="Q24" i="3" s="1"/>
  <c r="T6" i="3"/>
  <c r="Q6" i="3" s="1"/>
  <c r="T7" i="3"/>
  <c r="Q7" i="3" s="1"/>
  <c r="T8" i="3"/>
  <c r="R8" i="3" s="1"/>
  <c r="T5" i="3"/>
  <c r="Q5" i="3" s="1"/>
  <c r="R30" i="3" l="1"/>
  <c r="R11" i="3"/>
  <c r="Q11" i="3"/>
  <c r="R18" i="3"/>
  <c r="R23" i="3"/>
  <c r="Q23" i="3"/>
  <c r="R24" i="3"/>
  <c r="R13" i="3"/>
  <c r="Q13" i="3"/>
  <c r="R20" i="3"/>
  <c r="R17" i="3"/>
  <c r="Q12" i="3"/>
  <c r="R12" i="3"/>
  <c r="R19" i="3"/>
  <c r="Q19" i="3"/>
  <c r="Z18" i="3" s="1"/>
  <c r="Q14" i="3"/>
  <c r="R26" i="3"/>
  <c r="Q26" i="3"/>
  <c r="R25" i="3"/>
  <c r="Q8" i="3"/>
  <c r="AA6" i="3" s="1"/>
  <c r="R6" i="3"/>
  <c r="R7" i="3"/>
  <c r="R5" i="3"/>
  <c r="R42" i="3"/>
  <c r="Q42" i="3"/>
  <c r="R47" i="3"/>
  <c r="Q47" i="3"/>
  <c r="Q43" i="3"/>
  <c r="R43" i="3"/>
  <c r="R36" i="3"/>
  <c r="Q36" i="3"/>
  <c r="R29" i="3"/>
  <c r="Q29" i="3"/>
  <c r="R31" i="3"/>
  <c r="Q31" i="3"/>
  <c r="Q38" i="3"/>
  <c r="R38" i="3"/>
  <c r="Q49" i="3"/>
  <c r="R49" i="3"/>
  <c r="R41" i="3"/>
  <c r="Q41" i="3"/>
  <c r="Q35" i="3"/>
  <c r="R35" i="3"/>
  <c r="R32" i="3"/>
  <c r="Q32" i="3"/>
  <c r="Q50" i="3"/>
  <c r="Q44" i="3"/>
  <c r="R44" i="3"/>
  <c r="R37" i="3"/>
  <c r="Q37" i="3"/>
  <c r="R48" i="3"/>
  <c r="Z6" i="3" l="1"/>
  <c r="Z7" i="3"/>
  <c r="Y18" i="3"/>
  <c r="AB11" i="3"/>
  <c r="AA17" i="3"/>
  <c r="Z17" i="3"/>
  <c r="Y20" i="3"/>
  <c r="Y7" i="3"/>
  <c r="Y17" i="3"/>
  <c r="AB17" i="3"/>
  <c r="AB8" i="3"/>
  <c r="AB18" i="3"/>
  <c r="Y19" i="3"/>
  <c r="AA19" i="3"/>
  <c r="Z19" i="3"/>
  <c r="AB19" i="3"/>
  <c r="Z25" i="3"/>
  <c r="Z26" i="3"/>
  <c r="Y23" i="3"/>
  <c r="Z24" i="3"/>
  <c r="Y25" i="3"/>
  <c r="Y24" i="3"/>
  <c r="AA25" i="3"/>
  <c r="AA23" i="3"/>
  <c r="AB26" i="3"/>
  <c r="AB24" i="3"/>
  <c r="AA24" i="3"/>
  <c r="AB25" i="3"/>
  <c r="AA26" i="3"/>
  <c r="Y26" i="3"/>
  <c r="AB23" i="3"/>
  <c r="Z23" i="3"/>
  <c r="AA18" i="3"/>
  <c r="Z20" i="3"/>
  <c r="AA8" i="3"/>
  <c r="AA20" i="3"/>
  <c r="Z13" i="3"/>
  <c r="AB14" i="3"/>
  <c r="Z11" i="3"/>
  <c r="Y12" i="3"/>
  <c r="Y13" i="3"/>
  <c r="AA11" i="3"/>
  <c r="AA14" i="3"/>
  <c r="AB13" i="3"/>
  <c r="AB12" i="3"/>
  <c r="Z12" i="3"/>
  <c r="AA13" i="3"/>
  <c r="Z14" i="3"/>
  <c r="AA12" i="3"/>
  <c r="Y11" i="3"/>
  <c r="Y14" i="3"/>
  <c r="AB20" i="3"/>
  <c r="Y5" i="3"/>
  <c r="AB6" i="3"/>
  <c r="Y6" i="3"/>
  <c r="Y8" i="3"/>
  <c r="AB7" i="3"/>
  <c r="AA7" i="3"/>
  <c r="Z8" i="3"/>
  <c r="Y41" i="3"/>
  <c r="Y32" i="3"/>
  <c r="Z32" i="3"/>
  <c r="AA32" i="3"/>
  <c r="AB32" i="3"/>
  <c r="AB49" i="3"/>
  <c r="AA49" i="3"/>
  <c r="Y49" i="3"/>
  <c r="Z49" i="3"/>
  <c r="Y47" i="3"/>
  <c r="AB47" i="3"/>
  <c r="AA47" i="3"/>
  <c r="Z47" i="3"/>
  <c r="AB48" i="3"/>
  <c r="AA48" i="3"/>
  <c r="Z48" i="3"/>
  <c r="Y48" i="3"/>
  <c r="AB5" i="3"/>
  <c r="AA5" i="3"/>
  <c r="Z5" i="3"/>
  <c r="AB30" i="3"/>
  <c r="Z30" i="3"/>
  <c r="Y29" i="3"/>
  <c r="AB29" i="3"/>
  <c r="AA29" i="3"/>
  <c r="Y30" i="3"/>
  <c r="Z29" i="3"/>
  <c r="AA30" i="3"/>
  <c r="Y42" i="3"/>
  <c r="Y43" i="3"/>
  <c r="AA43" i="3"/>
  <c r="Z43" i="3"/>
  <c r="AB42" i="3"/>
  <c r="AB41" i="3"/>
  <c r="Z42" i="3"/>
  <c r="Y44" i="3"/>
  <c r="AA44" i="3"/>
  <c r="Z44" i="3"/>
  <c r="AA41" i="3"/>
  <c r="Z41" i="3"/>
  <c r="AB44" i="3"/>
  <c r="AA42" i="3"/>
  <c r="AB43" i="3"/>
  <c r="Y35" i="3"/>
  <c r="Y37" i="3"/>
  <c r="AA37" i="3"/>
  <c r="AA35" i="3"/>
  <c r="AA36" i="3"/>
  <c r="Y38" i="3"/>
  <c r="Y36" i="3"/>
  <c r="AB36" i="3"/>
  <c r="AB35" i="3"/>
  <c r="Z35" i="3"/>
  <c r="AB37" i="3"/>
  <c r="AA38" i="3"/>
  <c r="Z37" i="3"/>
  <c r="Z38" i="3"/>
  <c r="Z36" i="3"/>
  <c r="AB38" i="3"/>
  <c r="Y31" i="3"/>
  <c r="AA31" i="3"/>
  <c r="Z31" i="3"/>
  <c r="AB31" i="3"/>
  <c r="AB50" i="3"/>
  <c r="AA50" i="3"/>
  <c r="Z50" i="3"/>
  <c r="Y50" i="3"/>
  <c r="O20" i="3" l="1"/>
  <c r="O13" i="3"/>
  <c r="O6" i="3"/>
  <c r="O7" i="3"/>
  <c r="O49" i="3"/>
  <c r="O48" i="3"/>
  <c r="O47" i="3"/>
  <c r="O5" i="3"/>
  <c r="O32" i="3"/>
  <c r="O31" i="3"/>
  <c r="O37" i="3"/>
  <c r="O35" i="3"/>
  <c r="O23" i="3"/>
  <c r="O11" i="3"/>
  <c r="O30" i="3"/>
  <c r="O43" i="3"/>
  <c r="O36" i="3"/>
  <c r="O42" i="3"/>
  <c r="O18" i="3"/>
  <c r="O19" i="3"/>
  <c r="O38" i="3"/>
  <c r="O50" i="3"/>
  <c r="O24" i="3"/>
  <c r="O25" i="3"/>
  <c r="O17" i="3"/>
  <c r="O26" i="3"/>
  <c r="O29" i="3"/>
  <c r="O44" i="3"/>
  <c r="O41" i="3"/>
  <c r="O8" i="3"/>
  <c r="O14" i="3"/>
  <c r="O12" i="3"/>
  <c r="AF47" i="3" l="1"/>
  <c r="AH35" i="3"/>
  <c r="AL23" i="3"/>
  <c r="AK5" i="3"/>
  <c r="AH5" i="3"/>
  <c r="AL36" i="3"/>
  <c r="AJ35" i="3"/>
  <c r="AK35" i="3"/>
  <c r="AN6" i="3"/>
  <c r="AI8" i="3"/>
  <c r="AI6" i="3"/>
  <c r="AM6" i="3"/>
  <c r="AK8" i="3"/>
  <c r="AM8" i="3"/>
  <c r="AF6" i="3"/>
  <c r="AN8" i="3"/>
  <c r="AL5" i="3"/>
  <c r="AF7" i="3"/>
  <c r="AL8" i="3"/>
  <c r="AH8" i="3"/>
  <c r="AM5" i="3"/>
  <c r="AL6" i="3"/>
  <c r="AG8" i="3"/>
  <c r="AF5" i="3"/>
  <c r="AJ8" i="3"/>
  <c r="AN5" i="3"/>
  <c r="AJ5" i="3"/>
  <c r="AJ6" i="3"/>
  <c r="AF38" i="3"/>
  <c r="AF8" i="3"/>
  <c r="AF35" i="3"/>
  <c r="E12" i="4" s="1"/>
  <c r="AI5" i="3"/>
  <c r="AN35" i="3"/>
  <c r="AG6" i="3"/>
  <c r="AH6" i="3"/>
  <c r="AK6" i="3"/>
  <c r="AG5" i="3"/>
  <c r="AF37" i="3"/>
  <c r="AF36" i="3"/>
  <c r="AJ37" i="3"/>
  <c r="AL35" i="3"/>
  <c r="AM36" i="3"/>
  <c r="AG35" i="3"/>
  <c r="AN38" i="3"/>
  <c r="AK37" i="3"/>
  <c r="AK36" i="3"/>
  <c r="AG36" i="3"/>
  <c r="AI35" i="3"/>
  <c r="AI36" i="3"/>
  <c r="AM35" i="3"/>
  <c r="AM37" i="3"/>
  <c r="AH37" i="3"/>
  <c r="AH38" i="3"/>
  <c r="AI37" i="3"/>
  <c r="AG37" i="3"/>
  <c r="AL37" i="3"/>
  <c r="AN37" i="3"/>
  <c r="AN36" i="3"/>
  <c r="AH36" i="3"/>
  <c r="AJ38" i="3"/>
  <c r="AM23" i="3"/>
  <c r="AN23" i="3"/>
  <c r="AF23" i="3"/>
  <c r="AH23" i="3"/>
  <c r="AI23" i="3"/>
  <c r="AJ23" i="3"/>
  <c r="AK23" i="3"/>
  <c r="AG26" i="3"/>
  <c r="AG23" i="3"/>
  <c r="AI26" i="3"/>
  <c r="AF25" i="3"/>
  <c r="AL25" i="3"/>
  <c r="AJ7" i="3"/>
  <c r="AH25" i="3"/>
  <c r="AM26" i="3"/>
  <c r="AF24" i="3"/>
  <c r="AI7" i="3"/>
  <c r="AN24" i="3"/>
  <c r="AL38" i="3"/>
  <c r="AF26" i="3"/>
  <c r="AL7" i="3"/>
  <c r="AI38" i="3"/>
  <c r="AJ24" i="3"/>
  <c r="AM38" i="3"/>
  <c r="AH11" i="3"/>
  <c r="AM11" i="3"/>
  <c r="AJ11" i="3"/>
  <c r="AL11" i="3"/>
  <c r="AN11" i="3"/>
  <c r="AI11" i="3"/>
  <c r="AF11" i="3"/>
  <c r="AG11" i="3"/>
  <c r="AK11" i="3"/>
  <c r="AK26" i="3"/>
  <c r="AK24" i="3"/>
  <c r="AG38" i="3"/>
  <c r="AK38" i="3"/>
  <c r="AH24" i="3"/>
  <c r="AI24" i="3"/>
  <c r="AJ36" i="3"/>
  <c r="AH7" i="3"/>
  <c r="AI50" i="3"/>
  <c r="AL50" i="3"/>
  <c r="AN49" i="3"/>
  <c r="AH47" i="3"/>
  <c r="E13" i="4" s="1"/>
  <c r="AM47" i="3"/>
  <c r="AL47" i="3"/>
  <c r="AM48" i="3"/>
  <c r="AK50" i="3"/>
  <c r="AG49" i="3"/>
  <c r="AI47" i="3"/>
  <c r="AI48" i="3"/>
  <c r="AN50" i="3"/>
  <c r="AL48" i="3"/>
  <c r="AJ50" i="3"/>
  <c r="AH50" i="3"/>
  <c r="AH49" i="3"/>
  <c r="AG47" i="3"/>
  <c r="AJ47" i="3"/>
  <c r="AL49" i="3"/>
  <c r="AK47" i="3"/>
  <c r="AK48" i="3"/>
  <c r="AN47" i="3"/>
  <c r="AF48" i="3"/>
  <c r="AF49" i="3"/>
  <c r="AM50" i="3"/>
  <c r="AJ48" i="3"/>
  <c r="AF50" i="3"/>
  <c r="AG48" i="3"/>
  <c r="AM49" i="3"/>
  <c r="AJ49" i="3"/>
  <c r="AG50" i="3"/>
  <c r="AH48" i="3"/>
  <c r="AK49" i="3"/>
  <c r="AN48" i="3"/>
  <c r="AI49" i="3"/>
  <c r="AL17" i="3"/>
  <c r="AF17" i="3"/>
  <c r="AH19" i="3"/>
  <c r="AI19" i="3"/>
  <c r="AH20" i="3"/>
  <c r="AK18" i="3"/>
  <c r="AI17" i="3"/>
  <c r="AN20" i="3"/>
  <c r="AL18" i="3"/>
  <c r="AG18" i="3"/>
  <c r="AJ18" i="3"/>
  <c r="AH18" i="3"/>
  <c r="AG19" i="3"/>
  <c r="AI18" i="3"/>
  <c r="AM19" i="3"/>
  <c r="AF20" i="3"/>
  <c r="AJ20" i="3"/>
  <c r="AN17" i="3"/>
  <c r="AH17" i="3"/>
  <c r="AM17" i="3"/>
  <c r="AF19" i="3"/>
  <c r="AN19" i="3"/>
  <c r="AL20" i="3"/>
  <c r="AJ17" i="3"/>
  <c r="AK20" i="3"/>
  <c r="AK17" i="3"/>
  <c r="AF18" i="3"/>
  <c r="AM18" i="3"/>
  <c r="AG17" i="3"/>
  <c r="AL19" i="3"/>
  <c r="AI20" i="3"/>
  <c r="AJ19" i="3"/>
  <c r="AK19" i="3"/>
  <c r="AM20" i="3"/>
  <c r="AN18" i="3"/>
  <c r="AG20" i="3"/>
  <c r="AL24" i="3"/>
  <c r="AJ25" i="3"/>
  <c r="AG7" i="3"/>
  <c r="AM7" i="3"/>
  <c r="AI25" i="3"/>
  <c r="AG25" i="3"/>
  <c r="AH26" i="3"/>
  <c r="AL26" i="3"/>
  <c r="AN7" i="3"/>
  <c r="AM24" i="3"/>
  <c r="AG24" i="3"/>
  <c r="AK7" i="3"/>
  <c r="AM31" i="3"/>
  <c r="AL29" i="3"/>
  <c r="AF29" i="3"/>
  <c r="AN30" i="3"/>
  <c r="AF31" i="3"/>
  <c r="AM30" i="3"/>
  <c r="AI31" i="3"/>
  <c r="AF32" i="3"/>
  <c r="AJ32" i="3"/>
  <c r="AG29" i="3"/>
  <c r="AJ29" i="3"/>
  <c r="AI30" i="3"/>
  <c r="AF30" i="3"/>
  <c r="AJ31" i="3"/>
  <c r="AN32" i="3"/>
  <c r="AL30" i="3"/>
  <c r="AH29" i="3"/>
  <c r="AH32" i="3"/>
  <c r="AI32" i="3"/>
  <c r="AG32" i="3"/>
  <c r="AG31" i="3"/>
  <c r="AK30" i="3"/>
  <c r="AG30" i="3"/>
  <c r="AH30" i="3"/>
  <c r="AN31" i="3"/>
  <c r="AN29" i="3"/>
  <c r="AK29" i="3"/>
  <c r="AL31" i="3"/>
  <c r="AI29" i="3"/>
  <c r="AH31" i="3"/>
  <c r="AK31" i="3"/>
  <c r="AM32" i="3"/>
  <c r="AM29" i="3"/>
  <c r="AJ30" i="3"/>
  <c r="AL32" i="3"/>
  <c r="AK32" i="3"/>
  <c r="AJ13" i="3"/>
  <c r="AM13" i="3"/>
  <c r="AH13" i="3"/>
  <c r="AJ14" i="3"/>
  <c r="AF14" i="3"/>
  <c r="AN13" i="3"/>
  <c r="AL14" i="3"/>
  <c r="AI13" i="3"/>
  <c r="AM14" i="3"/>
  <c r="AM12" i="3"/>
  <c r="AH14" i="3"/>
  <c r="AK12" i="3"/>
  <c r="AJ12" i="3"/>
  <c r="AN14" i="3"/>
  <c r="AK13" i="3"/>
  <c r="AF12" i="3"/>
  <c r="AH12" i="3"/>
  <c r="AN12" i="3"/>
  <c r="AI14" i="3"/>
  <c r="AI12" i="3"/>
  <c r="AG12" i="3"/>
  <c r="AG13" i="3"/>
  <c r="AG14" i="3"/>
  <c r="AK14" i="3"/>
  <c r="AL12" i="3"/>
  <c r="AL13" i="3"/>
  <c r="AF13" i="3"/>
  <c r="AF42" i="3"/>
  <c r="AH41" i="3"/>
  <c r="AG42" i="3"/>
  <c r="AJ44" i="3"/>
  <c r="AN43" i="3"/>
  <c r="AL43" i="3"/>
  <c r="AI43" i="3"/>
  <c r="AG44" i="3"/>
  <c r="AJ42" i="3"/>
  <c r="AI44" i="3"/>
  <c r="AM43" i="3"/>
  <c r="AM41" i="3"/>
  <c r="AF43" i="3"/>
  <c r="AK41" i="3"/>
  <c r="AG43" i="3"/>
  <c r="AL44" i="3"/>
  <c r="AH43" i="3"/>
  <c r="AF41" i="3"/>
  <c r="AN42" i="3"/>
  <c r="AK43" i="3"/>
  <c r="AH42" i="3"/>
  <c r="AL41" i="3"/>
  <c r="AI42" i="3"/>
  <c r="AJ43" i="3"/>
  <c r="AN41" i="3"/>
  <c r="AN44" i="3"/>
  <c r="AM44" i="3"/>
  <c r="AK42" i="3"/>
  <c r="AH44" i="3"/>
  <c r="AK44" i="3"/>
  <c r="AG41" i="3"/>
  <c r="AL42" i="3"/>
  <c r="AM42" i="3"/>
  <c r="AJ41" i="3"/>
  <c r="AI41" i="3"/>
  <c r="AF44" i="3"/>
  <c r="AM25" i="3"/>
  <c r="AN25" i="3"/>
  <c r="AJ26" i="3"/>
  <c r="AK25" i="3"/>
  <c r="AN26" i="3"/>
  <c r="K11" i="4" l="1"/>
  <c r="E11" i="4"/>
  <c r="K13" i="4"/>
  <c r="K10" i="4"/>
  <c r="E7" i="4"/>
  <c r="E10" i="4"/>
  <c r="K12" i="4"/>
  <c r="K9" i="4"/>
  <c r="K7" i="4"/>
  <c r="E9" i="4"/>
  <c r="E8" i="4"/>
  <c r="K6" i="4"/>
  <c r="K8" i="4"/>
  <c r="E6" i="4"/>
</calcChain>
</file>

<file path=xl/sharedStrings.xml><?xml version="1.0" encoding="utf-8"?>
<sst xmlns="http://schemas.openxmlformats.org/spreadsheetml/2006/main" count="566" uniqueCount="112">
  <si>
    <t>Times</t>
  </si>
  <si>
    <t xml:space="preserve"> </t>
  </si>
  <si>
    <t xml:space="preserve">  </t>
  </si>
  <si>
    <t>AFC</t>
  </si>
  <si>
    <t>CAF</t>
  </si>
  <si>
    <t>CONCACAF</t>
  </si>
  <si>
    <t>CONMEBOL</t>
  </si>
  <si>
    <t>OFC</t>
  </si>
  <si>
    <t>UEFA</t>
  </si>
  <si>
    <t>Gr.</t>
  </si>
  <si>
    <t>Data</t>
  </si>
  <si>
    <t>Hora</t>
  </si>
  <si>
    <t>Seleção</t>
  </si>
  <si>
    <t>Placar</t>
  </si>
  <si>
    <t>Grupos</t>
  </si>
  <si>
    <t>A</t>
  </si>
  <si>
    <t>12.00</t>
  </si>
  <si>
    <t>x</t>
  </si>
  <si>
    <t>Grupo A</t>
  </si>
  <si>
    <t>09.00</t>
  </si>
  <si>
    <t>Rk</t>
  </si>
  <si>
    <t>Sorteio</t>
  </si>
  <si>
    <t>Pontos</t>
  </si>
  <si>
    <t>Jogos</t>
  </si>
  <si>
    <t>Vit</t>
  </si>
  <si>
    <t>Emp</t>
  </si>
  <si>
    <t>Der</t>
  </si>
  <si>
    <t>GP</t>
  </si>
  <si>
    <t>GC</t>
  </si>
  <si>
    <t>SG</t>
  </si>
  <si>
    <t>SAL</t>
  </si>
  <si>
    <t>PRO</t>
  </si>
  <si>
    <t xml:space="preserve">CON </t>
  </si>
  <si>
    <t>NM</t>
  </si>
  <si>
    <t>Or.</t>
  </si>
  <si>
    <t>P.</t>
  </si>
  <si>
    <t>P</t>
  </si>
  <si>
    <t>J</t>
  </si>
  <si>
    <t>V</t>
  </si>
  <si>
    <t>E</t>
  </si>
  <si>
    <t>D</t>
  </si>
  <si>
    <t>15.00</t>
  </si>
  <si>
    <t>11.00</t>
  </si>
  <si>
    <t>B</t>
  </si>
  <si>
    <t>Grupo B</t>
  </si>
  <si>
    <t>C</t>
  </si>
  <si>
    <t>07.00</t>
  </si>
  <si>
    <t>Grupo C</t>
  </si>
  <si>
    <t>13.00</t>
  </si>
  <si>
    <t>10.00</t>
  </si>
  <si>
    <t>Grupo D</t>
  </si>
  <si>
    <t>16.00</t>
  </si>
  <si>
    <t>Grupo E</t>
  </si>
  <si>
    <t>F</t>
  </si>
  <si>
    <t>Grupo F</t>
  </si>
  <si>
    <t>G</t>
  </si>
  <si>
    <t>Grupo G</t>
  </si>
  <si>
    <t>H</t>
  </si>
  <si>
    <t>Grupo H</t>
  </si>
  <si>
    <t>I</t>
  </si>
  <si>
    <t>Oitavas de Final</t>
  </si>
  <si>
    <t>Quartas de Final</t>
  </si>
  <si>
    <t>Semifinais</t>
  </si>
  <si>
    <t>S1</t>
  </si>
  <si>
    <t>S2</t>
  </si>
  <si>
    <t>FINAL</t>
  </si>
  <si>
    <t>Campeão</t>
  </si>
  <si>
    <t>País Sede</t>
  </si>
  <si>
    <t>Equipe</t>
  </si>
  <si>
    <t>Chelsea</t>
  </si>
  <si>
    <t>Real Madrid</t>
  </si>
  <si>
    <t>Manchester City</t>
  </si>
  <si>
    <t>Bayern de Munique</t>
  </si>
  <si>
    <t>Paris Saint-Germain</t>
  </si>
  <si>
    <t>Internazionale</t>
  </si>
  <si>
    <t>Porto</t>
  </si>
  <si>
    <t>Benfica</t>
  </si>
  <si>
    <t>Borussia Dortmund</t>
  </si>
  <si>
    <t>Juventus</t>
  </si>
  <si>
    <t>Atlético de Madrid</t>
  </si>
  <si>
    <t>Red Bull Salzburg</t>
  </si>
  <si>
    <t>Palmeiras</t>
  </si>
  <si>
    <t>Flamengo</t>
  </si>
  <si>
    <t>Fluminense</t>
  </si>
  <si>
    <t>Botafogo</t>
  </si>
  <si>
    <t>River Plate</t>
  </si>
  <si>
    <t>Boca Juniors</t>
  </si>
  <si>
    <t>Al-Hilal</t>
  </si>
  <si>
    <t>Urawa Red Diamonds</t>
  </si>
  <si>
    <t>Al Ain</t>
  </si>
  <si>
    <t>Ulsan</t>
  </si>
  <si>
    <t>Al-Ahly</t>
  </si>
  <si>
    <t>Wydad Casablanca</t>
  </si>
  <si>
    <t>Espérance de Tunis</t>
  </si>
  <si>
    <t>Mamelodi Sundowns</t>
  </si>
  <si>
    <t>Monterrey</t>
  </si>
  <si>
    <t>Seattle Sounders</t>
  </si>
  <si>
    <t>Pachuca</t>
  </si>
  <si>
    <t>Auckland City</t>
  </si>
  <si>
    <t>Inter Miami</t>
  </si>
  <si>
    <t>II</t>
  </si>
  <si>
    <t>III</t>
  </si>
  <si>
    <t>IV</t>
  </si>
  <si>
    <t>VI</t>
  </si>
  <si>
    <t>VII</t>
  </si>
  <si>
    <t>VIII</t>
  </si>
  <si>
    <t>Vice</t>
  </si>
  <si>
    <t>2025 Mundial de Clubes - Finais</t>
  </si>
  <si>
    <t>2025 Mundial de Clubes FIFA - Sorteio dos Grupos</t>
  </si>
  <si>
    <t>2025 Mundial de Clubes - Fase de Grupos</t>
  </si>
  <si>
    <t>Los Angeles FC</t>
  </si>
  <si>
    <t>2025 Mundial de Clubes FIFA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</si>
</sst>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"/>
    <numFmt numFmtId="165" formatCode="[$-416]d\-mmm;@"/>
    <numFmt numFmtId="166" formatCode="[$-416]dd\-mmm;@"/>
  </numFmts>
  <fonts count="2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6"/>
      <name val="Calibri"/>
      <family val="2"/>
      <scheme val="minor"/>
    </font>
    <font>
      <sz val="10"/>
      <color theme="1"/>
      <name val="Verdana"/>
      <family val="2"/>
    </font>
    <font>
      <sz val="11"/>
      <name val="Verdana"/>
      <family val="2"/>
    </font>
    <font>
      <sz val="11"/>
      <color theme="1"/>
      <name val="Verdana"/>
      <family val="2"/>
    </font>
    <font>
      <b/>
      <sz val="10"/>
      <color theme="1"/>
      <name val="Verdana"/>
      <family val="2"/>
    </font>
    <font>
      <sz val="12"/>
      <name val="Verdana"/>
      <family val="2"/>
    </font>
    <font>
      <sz val="12"/>
      <color theme="1"/>
      <name val="Verdana"/>
      <family val="2"/>
    </font>
    <font>
      <b/>
      <sz val="10"/>
      <color theme="0"/>
      <name val="Verdana"/>
      <family val="2"/>
    </font>
    <font>
      <b/>
      <sz val="18"/>
      <color theme="1"/>
      <name val="Verdana"/>
      <family val="2"/>
    </font>
    <font>
      <sz val="10"/>
      <color theme="0"/>
      <name val="Verdana"/>
      <family val="2"/>
    </font>
    <font>
      <b/>
      <sz val="11"/>
      <color theme="0"/>
      <name val="Verdana"/>
      <family val="2"/>
    </font>
    <font>
      <sz val="10"/>
      <color theme="4" tint="-0.249977111117893"/>
      <name val="Verdana"/>
      <family val="2"/>
    </font>
    <font>
      <sz val="10"/>
      <color theme="4" tint="0.39997558519241921"/>
      <name val="Verdana"/>
      <family val="2"/>
    </font>
    <font>
      <b/>
      <sz val="12"/>
      <color theme="4" tint="-0.499984740745262"/>
      <name val="Verdana"/>
      <family val="2"/>
    </font>
    <font>
      <b/>
      <i/>
      <sz val="14"/>
      <color theme="4" tint="-0.499984740745262"/>
      <name val="Verdana"/>
      <family val="2"/>
    </font>
    <font>
      <b/>
      <i/>
      <sz val="12"/>
      <color theme="4" tint="-0.499984740745262"/>
      <name val="Verdana"/>
      <family val="2"/>
    </font>
    <font>
      <sz val="10"/>
      <color theme="4" tint="-0.499984740745262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499984740745262"/>
        <bgColor theme="4"/>
      </patternFill>
    </fill>
    <fill>
      <patternFill patternType="solid">
        <fgColor theme="3" tint="-0.249977111117893"/>
        <bgColor theme="4"/>
      </patternFill>
    </fill>
    <fill>
      <patternFill patternType="solid">
        <fgColor theme="3" tint="0.59999389629810485"/>
        <bgColor theme="4" tint="0.59999389629810485"/>
      </patternFill>
    </fill>
    <fill>
      <patternFill patternType="solid">
        <fgColor theme="3" tint="0.79998168889431442"/>
        <bgColor theme="4" tint="0.79998168889431442"/>
      </patternFill>
    </fill>
  </fills>
  <borders count="4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5">
    <xf numFmtId="0" fontId="0" fillId="0" borderId="0" xfId="0"/>
    <xf numFmtId="0" fontId="4" fillId="2" borderId="13" xfId="0" applyFont="1" applyFill="1" applyBorder="1" applyAlignment="1">
      <alignment horizontal="center"/>
    </xf>
    <xf numFmtId="0" fontId="12" fillId="3" borderId="27" xfId="0" applyFont="1" applyFill="1" applyBorder="1" applyAlignment="1">
      <alignment horizontal="centerContinuous"/>
    </xf>
    <xf numFmtId="0" fontId="12" fillId="3" borderId="28" xfId="0" applyFont="1" applyFill="1" applyBorder="1" applyAlignment="1">
      <alignment horizontal="centerContinuous"/>
    </xf>
    <xf numFmtId="0" fontId="4" fillId="4" borderId="8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13" xfId="0" applyFont="1" applyFill="1" applyBorder="1" applyAlignment="1" applyProtection="1">
      <alignment horizontal="left" indent="1"/>
      <protection locked="0"/>
    </xf>
    <xf numFmtId="0" fontId="4" fillId="5" borderId="18" xfId="0" applyFont="1" applyFill="1" applyBorder="1" applyAlignment="1" applyProtection="1">
      <alignment horizontal="left" indent="1"/>
      <protection locked="0"/>
    </xf>
    <xf numFmtId="165" fontId="4" fillId="2" borderId="9" xfId="0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left" indent="1"/>
    </xf>
    <xf numFmtId="0" fontId="4" fillId="2" borderId="9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right" indent="1"/>
    </xf>
    <xf numFmtId="165" fontId="4" fillId="2" borderId="15" xfId="0" applyNumberFormat="1" applyFont="1" applyFill="1" applyBorder="1" applyAlignment="1">
      <alignment horizontal="center"/>
    </xf>
    <xf numFmtId="0" fontId="4" fillId="2" borderId="16" xfId="0" applyFont="1" applyFill="1" applyBorder="1" applyAlignment="1">
      <alignment horizontal="left" indent="1"/>
    </xf>
    <xf numFmtId="0" fontId="4" fillId="2" borderId="15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right" indent="1"/>
    </xf>
    <xf numFmtId="165" fontId="4" fillId="2" borderId="3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left" indent="1"/>
    </xf>
    <xf numFmtId="0" fontId="4" fillId="0" borderId="9" xfId="0" applyFont="1" applyFill="1" applyBorder="1" applyAlignment="1" applyProtection="1">
      <alignment horizontal="center"/>
      <protection locked="0"/>
    </xf>
    <xf numFmtId="0" fontId="4" fillId="0" borderId="15" xfId="0" applyFont="1" applyFill="1" applyBorder="1" applyAlignment="1" applyProtection="1">
      <alignment horizontal="center"/>
      <protection locked="0"/>
    </xf>
    <xf numFmtId="0" fontId="4" fillId="0" borderId="3" xfId="0" applyFont="1" applyFill="1" applyBorder="1" applyAlignment="1" applyProtection="1">
      <alignment horizontal="center"/>
      <protection locked="0"/>
    </xf>
    <xf numFmtId="0" fontId="4" fillId="5" borderId="10" xfId="0" applyFont="1" applyFill="1" applyBorder="1" applyAlignment="1">
      <alignment horizontal="left" indent="1"/>
    </xf>
    <xf numFmtId="0" fontId="4" fillId="5" borderId="16" xfId="0" applyFont="1" applyFill="1" applyBorder="1" applyAlignment="1">
      <alignment horizontal="left" indent="1"/>
    </xf>
    <xf numFmtId="0" fontId="4" fillId="5" borderId="13" xfId="0" applyFont="1" applyFill="1" applyBorder="1" applyAlignment="1">
      <alignment horizontal="right" indent="1"/>
    </xf>
    <xf numFmtId="0" fontId="4" fillId="5" borderId="18" xfId="0" applyFont="1" applyFill="1" applyBorder="1" applyAlignment="1">
      <alignment horizontal="right" indent="1"/>
    </xf>
    <xf numFmtId="0" fontId="2" fillId="4" borderId="0" xfId="0" applyFont="1" applyFill="1" applyBorder="1" applyAlignment="1">
      <alignment horizontal="centerContinuous"/>
    </xf>
    <xf numFmtId="0" fontId="0" fillId="4" borderId="0" xfId="0" applyFill="1"/>
    <xf numFmtId="0" fontId="3" fillId="4" borderId="0" xfId="0" applyFont="1" applyFill="1" applyBorder="1"/>
    <xf numFmtId="0" fontId="3" fillId="4" borderId="29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4" borderId="5" xfId="0" applyFont="1" applyFill="1" applyBorder="1" applyAlignment="1"/>
    <xf numFmtId="0" fontId="3" fillId="4" borderId="6" xfId="0" applyFont="1" applyFill="1" applyBorder="1" applyAlignment="1"/>
    <xf numFmtId="0" fontId="3" fillId="4" borderId="2" xfId="0" applyFont="1" applyFill="1" applyBorder="1" applyAlignment="1">
      <alignment horizontal="centerContinuous"/>
    </xf>
    <xf numFmtId="0" fontId="3" fillId="4" borderId="3" xfId="0" applyFont="1" applyFill="1" applyBorder="1" applyAlignment="1">
      <alignment horizontal="centerContinuous"/>
    </xf>
    <xf numFmtId="0" fontId="3" fillId="4" borderId="4" xfId="0" applyFont="1" applyFill="1" applyBorder="1" applyAlignment="1">
      <alignment horizontal="centerContinuous"/>
    </xf>
    <xf numFmtId="0" fontId="4" fillId="4" borderId="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2" xfId="0" applyFont="1" applyFill="1" applyBorder="1"/>
    <xf numFmtId="0" fontId="4" fillId="4" borderId="9" xfId="0" applyFont="1" applyFill="1" applyBorder="1"/>
    <xf numFmtId="0" fontId="4" fillId="4" borderId="10" xfId="0" applyFont="1" applyFill="1" applyBorder="1"/>
    <xf numFmtId="0" fontId="4" fillId="4" borderId="11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Continuous"/>
    </xf>
    <xf numFmtId="0" fontId="3" fillId="4" borderId="9" xfId="0" applyFont="1" applyFill="1" applyBorder="1" applyAlignment="1">
      <alignment horizontal="centerContinuous"/>
    </xf>
    <xf numFmtId="0" fontId="3" fillId="4" borderId="10" xfId="0" applyFont="1" applyFill="1" applyBorder="1" applyAlignment="1">
      <alignment horizontal="centerContinuous"/>
    </xf>
    <xf numFmtId="0" fontId="4" fillId="4" borderId="0" xfId="0" applyFont="1" applyFill="1" applyBorder="1"/>
    <xf numFmtId="0" fontId="4" fillId="4" borderId="11" xfId="0" applyFont="1" applyFill="1" applyBorder="1"/>
    <xf numFmtId="0" fontId="4" fillId="4" borderId="24" xfId="0" applyFont="1" applyFill="1" applyBorder="1"/>
    <xf numFmtId="0" fontId="4" fillId="4" borderId="8" xfId="0" applyFont="1" applyFill="1" applyBorder="1" applyProtection="1"/>
    <xf numFmtId="0" fontId="4" fillId="4" borderId="16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30" xfId="0" applyFont="1" applyFill="1" applyBorder="1"/>
    <xf numFmtId="0" fontId="4" fillId="4" borderId="15" xfId="0" applyFont="1" applyFill="1" applyBorder="1"/>
    <xf numFmtId="0" fontId="4" fillId="4" borderId="16" xfId="0" applyFont="1" applyFill="1" applyBorder="1"/>
    <xf numFmtId="0" fontId="4" fillId="4" borderId="17" xfId="0" applyFont="1" applyFill="1" applyBorder="1"/>
    <xf numFmtId="0" fontId="4" fillId="4" borderId="25" xfId="0" applyFont="1" applyFill="1" applyBorder="1"/>
    <xf numFmtId="0" fontId="4" fillId="4" borderId="1" xfId="0" applyFont="1" applyFill="1" applyBorder="1"/>
    <xf numFmtId="0" fontId="4" fillId="4" borderId="3" xfId="0" applyFont="1" applyFill="1" applyBorder="1" applyAlignment="1">
      <alignment horizontal="center"/>
    </xf>
    <xf numFmtId="0" fontId="4" fillId="4" borderId="29" xfId="0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0" fontId="4" fillId="4" borderId="5" xfId="0" applyFont="1" applyFill="1" applyBorder="1"/>
    <xf numFmtId="0" fontId="4" fillId="4" borderId="26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/>
    <xf numFmtId="0" fontId="4" fillId="4" borderId="21" xfId="0" applyFont="1" applyFill="1" applyBorder="1"/>
    <xf numFmtId="0" fontId="4" fillId="4" borderId="19" xfId="0" applyFont="1" applyFill="1" applyBorder="1"/>
    <xf numFmtId="0" fontId="4" fillId="4" borderId="20" xfId="0" applyFont="1" applyFill="1" applyBorder="1"/>
    <xf numFmtId="0" fontId="4" fillId="4" borderId="23" xfId="0" applyFont="1" applyFill="1" applyBorder="1"/>
    <xf numFmtId="0" fontId="12" fillId="6" borderId="2" xfId="0" applyFont="1" applyFill="1" applyBorder="1" applyAlignment="1">
      <alignment horizontal="center"/>
    </xf>
    <xf numFmtId="164" fontId="12" fillId="6" borderId="3" xfId="0" applyNumberFormat="1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Continuous"/>
    </xf>
    <xf numFmtId="0" fontId="12" fillId="6" borderId="7" xfId="0" applyFont="1" applyFill="1" applyBorder="1" applyAlignment="1">
      <alignment horizontal="centerContinuous"/>
    </xf>
    <xf numFmtId="165" fontId="4" fillId="5" borderId="9" xfId="0" applyNumberFormat="1" applyFont="1" applyFill="1" applyBorder="1" applyAlignment="1">
      <alignment horizontal="center"/>
    </xf>
    <xf numFmtId="165" fontId="4" fillId="5" borderId="15" xfId="0" applyNumberFormat="1" applyFont="1" applyFill="1" applyBorder="1" applyAlignment="1">
      <alignment horizontal="center"/>
    </xf>
    <xf numFmtId="0" fontId="4" fillId="5" borderId="3" xfId="0" applyFont="1" applyFill="1" applyBorder="1" applyAlignment="1">
      <alignment horizontal="left" indent="1"/>
    </xf>
    <xf numFmtId="0" fontId="4" fillId="5" borderId="9" xfId="0" applyFont="1" applyFill="1" applyBorder="1" applyAlignment="1">
      <alignment horizontal="left" indent="1"/>
    </xf>
    <xf numFmtId="0" fontId="4" fillId="5" borderId="15" xfId="0" applyFont="1" applyFill="1" applyBorder="1" applyAlignment="1">
      <alignment horizontal="left" indent="1"/>
    </xf>
    <xf numFmtId="0" fontId="4" fillId="5" borderId="7" xfId="0" applyFont="1" applyFill="1" applyBorder="1" applyAlignment="1">
      <alignment horizontal="right" indent="1"/>
    </xf>
    <xf numFmtId="0" fontId="12" fillId="6" borderId="2" xfId="0" applyFont="1" applyFill="1" applyBorder="1" applyAlignment="1">
      <alignment horizontal="centerContinuous"/>
    </xf>
    <xf numFmtId="0" fontId="12" fillId="3" borderId="8" xfId="0" applyFont="1" applyFill="1" applyBorder="1" applyAlignment="1">
      <alignment horizontal="centerContinuous"/>
    </xf>
    <xf numFmtId="0" fontId="12" fillId="3" borderId="9" xfId="0" applyFont="1" applyFill="1" applyBorder="1" applyAlignment="1">
      <alignment horizontal="centerContinuous"/>
    </xf>
    <xf numFmtId="0" fontId="12" fillId="3" borderId="13" xfId="0" applyFont="1" applyFill="1" applyBorder="1" applyAlignment="1">
      <alignment horizontal="centerContinuous"/>
    </xf>
    <xf numFmtId="0" fontId="4" fillId="5" borderId="9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2" fillId="4" borderId="1" xfId="0" applyFont="1" applyFill="1" applyBorder="1" applyAlignment="1">
      <alignment horizontal="centerContinuous" vertical="center"/>
    </xf>
    <xf numFmtId="0" fontId="2" fillId="4" borderId="0" xfId="0" applyFont="1" applyFill="1" applyBorder="1" applyAlignment="1">
      <alignment horizontal="centerContinuous" vertical="center"/>
    </xf>
    <xf numFmtId="0" fontId="5" fillId="4" borderId="0" xfId="1" applyFont="1" applyFill="1" applyBorder="1" applyAlignment="1" applyProtection="1">
      <alignment horizontal="centerContinuous" vertical="center"/>
      <protection locked="0"/>
    </xf>
    <xf numFmtId="0" fontId="4" fillId="5" borderId="3" xfId="0" applyFont="1" applyFill="1" applyBorder="1" applyAlignment="1">
      <alignment horizontal="center"/>
    </xf>
    <xf numFmtId="0" fontId="5" fillId="4" borderId="0" xfId="1" applyFont="1" applyFill="1" applyBorder="1" applyAlignment="1" applyProtection="1">
      <alignment horizontal="centerContinuous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8" borderId="18" xfId="0" applyFont="1" applyFill="1" applyBorder="1" applyAlignment="1">
      <alignment horizontal="center" vertical="center"/>
    </xf>
    <xf numFmtId="0" fontId="2" fillId="4" borderId="0" xfId="0" applyFont="1" applyFill="1" applyBorder="1" applyAlignment="1"/>
    <xf numFmtId="0" fontId="7" fillId="4" borderId="0" xfId="0" applyFont="1" applyFill="1" applyBorder="1"/>
    <xf numFmtId="0" fontId="8" fillId="4" borderId="0" xfId="0" applyFont="1" applyFill="1" applyAlignment="1">
      <alignment horizontal="center"/>
    </xf>
    <xf numFmtId="0" fontId="8" fillId="4" borderId="0" xfId="0" applyFont="1" applyFill="1"/>
    <xf numFmtId="0" fontId="3" fillId="4" borderId="0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0" xfId="0" applyFont="1" applyFill="1"/>
    <xf numFmtId="165" fontId="4" fillId="4" borderId="0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left" indent="1"/>
    </xf>
    <xf numFmtId="0" fontId="4" fillId="4" borderId="0" xfId="0" applyFont="1" applyFill="1" applyBorder="1" applyAlignment="1">
      <alignment horizontal="right" indent="1"/>
    </xf>
    <xf numFmtId="0" fontId="6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Continuous"/>
    </xf>
    <xf numFmtId="0" fontId="4" fillId="2" borderId="12" xfId="0" applyFont="1" applyFill="1" applyBorder="1" applyAlignment="1" applyProtection="1">
      <alignment horizontal="center"/>
      <protection locked="0"/>
    </xf>
    <xf numFmtId="0" fontId="4" fillId="2" borderId="10" xfId="0" applyFont="1" applyFill="1" applyBorder="1" applyAlignment="1" applyProtection="1">
      <alignment horizontal="center"/>
      <protection locked="0"/>
    </xf>
    <xf numFmtId="166" fontId="4" fillId="5" borderId="9" xfId="0" applyNumberFormat="1" applyFont="1" applyFill="1" applyBorder="1" applyAlignment="1">
      <alignment horizontal="center"/>
    </xf>
    <xf numFmtId="166" fontId="4" fillId="2" borderId="9" xfId="0" applyNumberFormat="1" applyFont="1" applyFill="1" applyBorder="1" applyAlignment="1">
      <alignment horizontal="center"/>
    </xf>
    <xf numFmtId="0" fontId="4" fillId="5" borderId="12" xfId="0" applyFont="1" applyFill="1" applyBorder="1" applyAlignment="1" applyProtection="1">
      <alignment horizontal="center"/>
      <protection locked="0"/>
    </xf>
    <xf numFmtId="0" fontId="4" fillId="5" borderId="10" xfId="0" applyFont="1" applyFill="1" applyBorder="1" applyAlignment="1" applyProtection="1">
      <alignment horizontal="center"/>
      <protection locked="0"/>
    </xf>
    <xf numFmtId="0" fontId="16" fillId="5" borderId="8" xfId="0" applyFont="1" applyFill="1" applyBorder="1" applyAlignment="1">
      <alignment horizontal="center"/>
    </xf>
    <xf numFmtId="0" fontId="16" fillId="5" borderId="14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17" fillId="3" borderId="14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2" borderId="33" xfId="0" applyFont="1" applyFill="1" applyBorder="1" applyAlignment="1" applyProtection="1">
      <alignment horizontal="right" indent="1"/>
    </xf>
    <xf numFmtId="166" fontId="4" fillId="5" borderId="15" xfId="0" applyNumberFormat="1" applyFont="1" applyFill="1" applyBorder="1" applyAlignment="1">
      <alignment horizontal="center"/>
    </xf>
    <xf numFmtId="0" fontId="4" fillId="2" borderId="30" xfId="0" applyFont="1" applyFill="1" applyBorder="1" applyAlignment="1" applyProtection="1">
      <alignment horizontal="center"/>
      <protection locked="0"/>
    </xf>
    <xf numFmtId="0" fontId="4" fillId="2" borderId="16" xfId="0" applyFont="1" applyFill="1" applyBorder="1" applyAlignment="1" applyProtection="1">
      <alignment horizontal="center"/>
      <protection locked="0"/>
    </xf>
    <xf numFmtId="0" fontId="4" fillId="2" borderId="34" xfId="0" applyFont="1" applyFill="1" applyBorder="1" applyAlignment="1" applyProtection="1">
      <alignment horizontal="right" indent="1"/>
    </xf>
    <xf numFmtId="0" fontId="4" fillId="5" borderId="33" xfId="0" applyFont="1" applyFill="1" applyBorder="1" applyAlignment="1" applyProtection="1">
      <alignment horizontal="right" indent="1"/>
    </xf>
    <xf numFmtId="166" fontId="4" fillId="2" borderId="15" xfId="0" applyNumberFormat="1" applyFont="1" applyFill="1" applyBorder="1" applyAlignment="1">
      <alignment horizontal="center"/>
    </xf>
    <xf numFmtId="0" fontId="4" fillId="5" borderId="30" xfId="0" applyFont="1" applyFill="1" applyBorder="1" applyAlignment="1" applyProtection="1">
      <alignment horizontal="center"/>
      <protection locked="0"/>
    </xf>
    <xf numFmtId="0" fontId="4" fillId="5" borderId="16" xfId="0" applyFont="1" applyFill="1" applyBorder="1" applyAlignment="1" applyProtection="1">
      <alignment horizontal="center"/>
      <protection locked="0"/>
    </xf>
    <xf numFmtId="0" fontId="4" fillId="5" borderId="34" xfId="0" applyFont="1" applyFill="1" applyBorder="1" applyAlignment="1" applyProtection="1">
      <alignment horizontal="right" indent="1"/>
    </xf>
    <xf numFmtId="0" fontId="12" fillId="6" borderId="35" xfId="0" applyFont="1" applyFill="1" applyBorder="1" applyAlignment="1">
      <alignment horizontal="center"/>
    </xf>
    <xf numFmtId="165" fontId="12" fillId="3" borderId="19" xfId="0" applyNumberFormat="1" applyFont="1" applyFill="1" applyBorder="1" applyAlignment="1">
      <alignment horizontal="center"/>
    </xf>
    <xf numFmtId="0" fontId="12" fillId="3" borderId="19" xfId="0" applyFont="1" applyFill="1" applyBorder="1" applyAlignment="1">
      <alignment horizontal="center"/>
    </xf>
    <xf numFmtId="0" fontId="16" fillId="5" borderId="2" xfId="0" applyFont="1" applyFill="1" applyBorder="1" applyAlignment="1">
      <alignment horizontal="center"/>
    </xf>
    <xf numFmtId="166" fontId="4" fillId="5" borderId="3" xfId="0" applyNumberFormat="1" applyFont="1" applyFill="1" applyBorder="1" applyAlignment="1">
      <alignment horizontal="center"/>
    </xf>
    <xf numFmtId="0" fontId="4" fillId="2" borderId="29" xfId="0" applyFont="1" applyFill="1" applyBorder="1" applyAlignment="1" applyProtection="1">
      <alignment horizontal="center"/>
      <protection locked="0"/>
    </xf>
    <xf numFmtId="0" fontId="4" fillId="2" borderId="4" xfId="0" applyFont="1" applyFill="1" applyBorder="1" applyAlignment="1" applyProtection="1">
      <alignment horizontal="center"/>
      <protection locked="0"/>
    </xf>
    <xf numFmtId="0" fontId="4" fillId="2" borderId="28" xfId="0" applyFont="1" applyFill="1" applyBorder="1" applyAlignment="1" applyProtection="1">
      <alignment horizontal="right" indent="1"/>
    </xf>
    <xf numFmtId="166" fontId="4" fillId="2" borderId="3" xfId="0" applyNumberFormat="1" applyFont="1" applyFill="1" applyBorder="1" applyAlignment="1">
      <alignment horizontal="center"/>
    </xf>
    <xf numFmtId="0" fontId="4" fillId="5" borderId="4" xfId="0" applyFont="1" applyFill="1" applyBorder="1" applyAlignment="1">
      <alignment horizontal="left" indent="1"/>
    </xf>
    <xf numFmtId="0" fontId="4" fillId="5" borderId="29" xfId="0" applyFont="1" applyFill="1" applyBorder="1" applyAlignment="1" applyProtection="1">
      <alignment horizontal="center"/>
      <protection locked="0"/>
    </xf>
    <xf numFmtId="0" fontId="4" fillId="5" borderId="4" xfId="0" applyFont="1" applyFill="1" applyBorder="1" applyAlignment="1" applyProtection="1">
      <alignment horizontal="center"/>
      <protection locked="0"/>
    </xf>
    <xf numFmtId="0" fontId="4" fillId="5" borderId="28" xfId="0" applyFont="1" applyFill="1" applyBorder="1" applyAlignment="1" applyProtection="1">
      <alignment horizontal="right" indent="1"/>
    </xf>
    <xf numFmtId="0" fontId="16" fillId="2" borderId="36" xfId="0" applyFont="1" applyFill="1" applyBorder="1" applyAlignment="1">
      <alignment horizontal="center"/>
    </xf>
    <xf numFmtId="166" fontId="4" fillId="2" borderId="37" xfId="0" applyNumberFormat="1" applyFont="1" applyFill="1" applyBorder="1" applyAlignment="1">
      <alignment horizontal="center"/>
    </xf>
    <xf numFmtId="0" fontId="4" fillId="4" borderId="38" xfId="0" applyFont="1" applyFill="1" applyBorder="1" applyAlignment="1">
      <alignment horizontal="center"/>
    </xf>
    <xf numFmtId="0" fontId="4" fillId="5" borderId="38" xfId="0" applyFont="1" applyFill="1" applyBorder="1" applyAlignment="1">
      <alignment horizontal="left" indent="1"/>
    </xf>
    <xf numFmtId="0" fontId="4" fillId="5" borderId="39" xfId="0" applyFont="1" applyFill="1" applyBorder="1" applyAlignment="1" applyProtection="1">
      <alignment horizontal="center"/>
      <protection locked="0"/>
    </xf>
    <xf numFmtId="0" fontId="4" fillId="0" borderId="37" xfId="0" applyFont="1" applyFill="1" applyBorder="1" applyAlignment="1" applyProtection="1">
      <alignment horizontal="center"/>
      <protection locked="0"/>
    </xf>
    <xf numFmtId="0" fontId="4" fillId="5" borderId="37" xfId="0" applyFont="1" applyFill="1" applyBorder="1" applyAlignment="1">
      <alignment horizontal="center"/>
    </xf>
    <xf numFmtId="0" fontId="4" fillId="5" borderId="38" xfId="0" applyFont="1" applyFill="1" applyBorder="1" applyAlignment="1" applyProtection="1">
      <alignment horizontal="center"/>
      <protection locked="0"/>
    </xf>
    <xf numFmtId="0" fontId="4" fillId="5" borderId="40" xfId="0" applyFont="1" applyFill="1" applyBorder="1" applyAlignment="1" applyProtection="1">
      <alignment horizontal="right" indent="1"/>
    </xf>
    <xf numFmtId="0" fontId="21" fillId="9" borderId="9" xfId="0" applyFont="1" applyFill="1" applyBorder="1" applyAlignment="1" applyProtection="1">
      <alignment horizontal="center" vertical="center"/>
      <protection locked="0"/>
    </xf>
    <xf numFmtId="0" fontId="21" fillId="10" borderId="9" xfId="0" applyFont="1" applyFill="1" applyBorder="1" applyAlignment="1" applyProtection="1">
      <alignment horizontal="center" vertical="center"/>
      <protection locked="0"/>
    </xf>
    <xf numFmtId="0" fontId="21" fillId="10" borderId="15" xfId="0" applyFont="1" applyFill="1" applyBorder="1" applyAlignment="1" applyProtection="1">
      <alignment horizontal="center" vertical="center"/>
      <protection locked="0"/>
    </xf>
    <xf numFmtId="0" fontId="19" fillId="4" borderId="0" xfId="0" applyFont="1" applyFill="1" applyBorder="1" applyAlignment="1">
      <alignment horizontal="centerContinuous" vertical="center"/>
    </xf>
    <xf numFmtId="0" fontId="10" fillId="4" borderId="0" xfId="0" applyFont="1" applyFill="1" applyBorder="1" applyAlignment="1">
      <alignment horizontal="centerContinuous" vertical="center"/>
    </xf>
    <xf numFmtId="0" fontId="20" fillId="4" borderId="0" xfId="0" applyFont="1" applyFill="1" applyBorder="1" applyAlignment="1">
      <alignment horizontal="centerContinuous" vertical="center"/>
    </xf>
    <xf numFmtId="0" fontId="13" fillId="4" borderId="0" xfId="0" applyFont="1" applyFill="1" applyAlignment="1">
      <alignment horizontal="left"/>
    </xf>
    <xf numFmtId="0" fontId="6" fillId="4" borderId="0" xfId="0" applyFont="1" applyFill="1" applyAlignment="1">
      <alignment horizontal="left" vertical="center"/>
    </xf>
    <xf numFmtId="0" fontId="12" fillId="6" borderId="3" xfId="0" applyFont="1" applyFill="1" applyBorder="1" applyAlignment="1">
      <alignment horizontal="center"/>
    </xf>
    <xf numFmtId="0" fontId="15" fillId="6" borderId="31" xfId="0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/>
    </xf>
    <xf numFmtId="0" fontId="15" fillId="6" borderId="32" xfId="0" applyFont="1" applyFill="1" applyBorder="1" applyAlignment="1">
      <alignment horizontal="center"/>
    </xf>
    <xf numFmtId="0" fontId="12" fillId="3" borderId="19" xfId="0" applyFont="1" applyFill="1" applyBorder="1" applyAlignment="1">
      <alignment horizontal="center"/>
    </xf>
    <xf numFmtId="0" fontId="12" fillId="3" borderId="22" xfId="0" applyFont="1" applyFill="1" applyBorder="1" applyAlignment="1">
      <alignment horizontal="center"/>
    </xf>
    <xf numFmtId="0" fontId="18" fillId="4" borderId="0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116"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FB449-6DA7-4D03-B64B-1C2132537955}">
  <dimension ref="B1:F35"/>
  <sheetViews>
    <sheetView showRowColHeaders="0" workbookViewId="0">
      <selection activeCell="C4" sqref="C4"/>
    </sheetView>
  </sheetViews>
  <sheetFormatPr defaultRowHeight="12.75" x14ac:dyDescent="0.25"/>
  <cols>
    <col min="1" max="1" width="9.140625" style="119"/>
    <col min="2" max="2" width="5.7109375" style="119" customWidth="1"/>
    <col min="3" max="3" width="24.7109375" style="119" customWidth="1"/>
    <col min="4" max="4" width="14.7109375" style="119" customWidth="1"/>
    <col min="5" max="16384" width="9.140625" style="119"/>
  </cols>
  <sheetData>
    <row r="1" spans="2:6" ht="22.5" x14ac:dyDescent="0.3">
      <c r="B1" s="176" t="s">
        <v>111</v>
      </c>
      <c r="C1" s="177"/>
      <c r="D1" s="177"/>
      <c r="E1" s="177"/>
      <c r="F1" s="177"/>
    </row>
    <row r="2" spans="2:6" ht="13.5" thickBot="1" x14ac:dyDescent="0.3"/>
    <row r="3" spans="2:6" ht="14.25" customHeight="1" x14ac:dyDescent="0.25">
      <c r="B3" s="101" t="s">
        <v>1</v>
      </c>
      <c r="C3" s="102" t="s">
        <v>0</v>
      </c>
      <c r="D3" s="103" t="s">
        <v>2</v>
      </c>
    </row>
    <row r="4" spans="2:6" ht="14.25" customHeight="1" x14ac:dyDescent="0.25">
      <c r="B4" s="104">
        <v>1</v>
      </c>
      <c r="C4" s="170" t="s">
        <v>69</v>
      </c>
      <c r="D4" s="106" t="s">
        <v>8</v>
      </c>
    </row>
    <row r="5" spans="2:6" ht="14.25" customHeight="1" x14ac:dyDescent="0.25">
      <c r="B5" s="104">
        <v>2</v>
      </c>
      <c r="C5" s="171" t="s">
        <v>70</v>
      </c>
      <c r="D5" s="106" t="s">
        <v>8</v>
      </c>
    </row>
    <row r="6" spans="2:6" ht="14.25" customHeight="1" x14ac:dyDescent="0.25">
      <c r="B6" s="104">
        <v>3</v>
      </c>
      <c r="C6" s="170" t="s">
        <v>71</v>
      </c>
      <c r="D6" s="106" t="s">
        <v>8</v>
      </c>
    </row>
    <row r="7" spans="2:6" ht="14.25" customHeight="1" x14ac:dyDescent="0.25">
      <c r="B7" s="104">
        <v>4</v>
      </c>
      <c r="C7" s="171" t="s">
        <v>72</v>
      </c>
      <c r="D7" s="106" t="s">
        <v>8</v>
      </c>
    </row>
    <row r="8" spans="2:6" ht="14.25" customHeight="1" x14ac:dyDescent="0.25">
      <c r="B8" s="104">
        <v>5</v>
      </c>
      <c r="C8" s="170" t="s">
        <v>73</v>
      </c>
      <c r="D8" s="106" t="s">
        <v>8</v>
      </c>
    </row>
    <row r="9" spans="2:6" ht="14.25" customHeight="1" x14ac:dyDescent="0.25">
      <c r="B9" s="104">
        <v>6</v>
      </c>
      <c r="C9" s="171" t="s">
        <v>74</v>
      </c>
      <c r="D9" s="106" t="s">
        <v>8</v>
      </c>
    </row>
    <row r="10" spans="2:6" ht="14.25" customHeight="1" x14ac:dyDescent="0.25">
      <c r="B10" s="104">
        <v>7</v>
      </c>
      <c r="C10" s="170" t="s">
        <v>75</v>
      </c>
      <c r="D10" s="106" t="s">
        <v>8</v>
      </c>
    </row>
    <row r="11" spans="2:6" ht="14.25" customHeight="1" x14ac:dyDescent="0.25">
      <c r="B11" s="104">
        <v>8</v>
      </c>
      <c r="C11" s="171" t="s">
        <v>76</v>
      </c>
      <c r="D11" s="106" t="s">
        <v>8</v>
      </c>
    </row>
    <row r="12" spans="2:6" ht="14.25" customHeight="1" x14ac:dyDescent="0.25">
      <c r="B12" s="104">
        <v>9</v>
      </c>
      <c r="C12" s="170" t="s">
        <v>77</v>
      </c>
      <c r="D12" s="106" t="s">
        <v>8</v>
      </c>
    </row>
    <row r="13" spans="2:6" ht="14.25" customHeight="1" x14ac:dyDescent="0.25">
      <c r="B13" s="104">
        <v>10</v>
      </c>
      <c r="C13" s="171" t="s">
        <v>78</v>
      </c>
      <c r="D13" s="106" t="s">
        <v>8</v>
      </c>
    </row>
    <row r="14" spans="2:6" ht="14.25" customHeight="1" x14ac:dyDescent="0.25">
      <c r="B14" s="104">
        <v>11</v>
      </c>
      <c r="C14" s="170" t="s">
        <v>79</v>
      </c>
      <c r="D14" s="106" t="s">
        <v>8</v>
      </c>
    </row>
    <row r="15" spans="2:6" ht="14.25" customHeight="1" x14ac:dyDescent="0.25">
      <c r="B15" s="104">
        <v>12</v>
      </c>
      <c r="C15" s="171" t="s">
        <v>80</v>
      </c>
      <c r="D15" s="106" t="s">
        <v>8</v>
      </c>
    </row>
    <row r="16" spans="2:6" ht="14.25" customHeight="1" x14ac:dyDescent="0.25">
      <c r="B16" s="104">
        <v>13</v>
      </c>
      <c r="C16" s="170" t="s">
        <v>81</v>
      </c>
      <c r="D16" s="106" t="s">
        <v>6</v>
      </c>
    </row>
    <row r="17" spans="2:4" ht="14.25" customHeight="1" x14ac:dyDescent="0.25">
      <c r="B17" s="104">
        <v>14</v>
      </c>
      <c r="C17" s="171" t="s">
        <v>82</v>
      </c>
      <c r="D17" s="106" t="s">
        <v>6</v>
      </c>
    </row>
    <row r="18" spans="2:4" ht="14.25" customHeight="1" x14ac:dyDescent="0.25">
      <c r="B18" s="104">
        <v>15</v>
      </c>
      <c r="C18" s="170" t="s">
        <v>83</v>
      </c>
      <c r="D18" s="106" t="s">
        <v>6</v>
      </c>
    </row>
    <row r="19" spans="2:4" ht="14.25" customHeight="1" x14ac:dyDescent="0.25">
      <c r="B19" s="104">
        <v>16</v>
      </c>
      <c r="C19" s="171" t="s">
        <v>84</v>
      </c>
      <c r="D19" s="106" t="s">
        <v>6</v>
      </c>
    </row>
    <row r="20" spans="2:4" ht="14.25" customHeight="1" x14ac:dyDescent="0.25">
      <c r="B20" s="104">
        <v>17</v>
      </c>
      <c r="C20" s="170" t="s">
        <v>85</v>
      </c>
      <c r="D20" s="106" t="s">
        <v>6</v>
      </c>
    </row>
    <row r="21" spans="2:4" ht="14.25" customHeight="1" x14ac:dyDescent="0.25">
      <c r="B21" s="104">
        <v>18</v>
      </c>
      <c r="C21" s="171" t="s">
        <v>86</v>
      </c>
      <c r="D21" s="106" t="s">
        <v>6</v>
      </c>
    </row>
    <row r="22" spans="2:4" ht="14.25" customHeight="1" x14ac:dyDescent="0.25">
      <c r="B22" s="104">
        <v>19</v>
      </c>
      <c r="C22" s="170" t="s">
        <v>87</v>
      </c>
      <c r="D22" s="106" t="s">
        <v>3</v>
      </c>
    </row>
    <row r="23" spans="2:4" ht="14.25" customHeight="1" x14ac:dyDescent="0.25">
      <c r="B23" s="104">
        <v>20</v>
      </c>
      <c r="C23" s="171" t="s">
        <v>88</v>
      </c>
      <c r="D23" s="106" t="s">
        <v>3</v>
      </c>
    </row>
    <row r="24" spans="2:4" ht="14.25" customHeight="1" x14ac:dyDescent="0.25">
      <c r="B24" s="104">
        <v>21</v>
      </c>
      <c r="C24" s="170" t="s">
        <v>89</v>
      </c>
      <c r="D24" s="106" t="s">
        <v>3</v>
      </c>
    </row>
    <row r="25" spans="2:4" ht="14.25" customHeight="1" x14ac:dyDescent="0.25">
      <c r="B25" s="104">
        <v>22</v>
      </c>
      <c r="C25" s="171" t="s">
        <v>90</v>
      </c>
      <c r="D25" s="106" t="s">
        <v>3</v>
      </c>
    </row>
    <row r="26" spans="2:4" ht="14.25" customHeight="1" x14ac:dyDescent="0.25">
      <c r="B26" s="104">
        <v>23</v>
      </c>
      <c r="C26" s="170" t="s">
        <v>91</v>
      </c>
      <c r="D26" s="106" t="s">
        <v>4</v>
      </c>
    </row>
    <row r="27" spans="2:4" ht="14.25" customHeight="1" x14ac:dyDescent="0.25">
      <c r="B27" s="104">
        <v>24</v>
      </c>
      <c r="C27" s="171" t="s">
        <v>92</v>
      </c>
      <c r="D27" s="106" t="s">
        <v>4</v>
      </c>
    </row>
    <row r="28" spans="2:4" ht="14.25" customHeight="1" x14ac:dyDescent="0.25">
      <c r="B28" s="104">
        <v>25</v>
      </c>
      <c r="C28" s="170" t="s">
        <v>93</v>
      </c>
      <c r="D28" s="106" t="s">
        <v>4</v>
      </c>
    </row>
    <row r="29" spans="2:4" ht="14.25" customHeight="1" x14ac:dyDescent="0.25">
      <c r="B29" s="104">
        <v>26</v>
      </c>
      <c r="C29" s="171" t="s">
        <v>94</v>
      </c>
      <c r="D29" s="106" t="s">
        <v>4</v>
      </c>
    </row>
    <row r="30" spans="2:4" ht="14.25" customHeight="1" x14ac:dyDescent="0.25">
      <c r="B30" s="104">
        <v>27</v>
      </c>
      <c r="C30" s="170" t="s">
        <v>95</v>
      </c>
      <c r="D30" s="106" t="s">
        <v>5</v>
      </c>
    </row>
    <row r="31" spans="2:4" ht="14.25" customHeight="1" x14ac:dyDescent="0.25">
      <c r="B31" s="104">
        <v>28</v>
      </c>
      <c r="C31" s="171" t="s">
        <v>96</v>
      </c>
      <c r="D31" s="106" t="s">
        <v>5</v>
      </c>
    </row>
    <row r="32" spans="2:4" ht="14.25" customHeight="1" x14ac:dyDescent="0.25">
      <c r="B32" s="104">
        <v>29</v>
      </c>
      <c r="C32" s="170" t="s">
        <v>97</v>
      </c>
      <c r="D32" s="106" t="s">
        <v>5</v>
      </c>
    </row>
    <row r="33" spans="2:4" ht="14.25" customHeight="1" x14ac:dyDescent="0.25">
      <c r="B33" s="104">
        <v>30</v>
      </c>
      <c r="C33" s="171" t="s">
        <v>110</v>
      </c>
      <c r="D33" s="106" t="s">
        <v>5</v>
      </c>
    </row>
    <row r="34" spans="2:4" ht="14.25" customHeight="1" x14ac:dyDescent="0.25">
      <c r="B34" s="104">
        <v>31</v>
      </c>
      <c r="C34" s="170" t="s">
        <v>98</v>
      </c>
      <c r="D34" s="106" t="s">
        <v>7</v>
      </c>
    </row>
    <row r="35" spans="2:4" ht="14.25" customHeight="1" thickBot="1" x14ac:dyDescent="0.3">
      <c r="B35" s="105">
        <v>32</v>
      </c>
      <c r="C35" s="172" t="s">
        <v>99</v>
      </c>
      <c r="D35" s="107" t="s">
        <v>67</v>
      </c>
    </row>
  </sheetData>
  <sheetProtection password="CC01" sheet="1" objects="1" scenarios="1" selectLockedCells="1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5850-6D27-41F7-9667-F28BB32F1117}">
  <dimension ref="B1:L17"/>
  <sheetViews>
    <sheetView showRowColHeaders="0" workbookViewId="0">
      <selection activeCell="C6" sqref="C6"/>
    </sheetView>
  </sheetViews>
  <sheetFormatPr defaultRowHeight="14.25" x14ac:dyDescent="0.2"/>
  <cols>
    <col min="1" max="1" width="9.140625" style="111"/>
    <col min="2" max="2" width="2.7109375" style="111" customWidth="1"/>
    <col min="3" max="3" width="22.7109375" style="111" customWidth="1"/>
    <col min="4" max="4" width="9.140625" style="111"/>
    <col min="5" max="5" width="2.7109375" style="111" customWidth="1"/>
    <col min="6" max="6" width="22.7109375" style="111" customWidth="1"/>
    <col min="7" max="7" width="9.140625" style="111"/>
    <col min="8" max="8" width="2.7109375" style="111" customWidth="1"/>
    <col min="9" max="9" width="22.7109375" style="111" customWidth="1"/>
    <col min="10" max="10" width="9.140625" style="111"/>
    <col min="11" max="11" width="2.7109375" style="111" customWidth="1"/>
    <col min="12" max="12" width="22.7109375" style="111" customWidth="1"/>
    <col min="13" max="16384" width="9.140625" style="111"/>
  </cols>
  <sheetData>
    <row r="1" spans="2:12" ht="22.5" x14ac:dyDescent="0.3">
      <c r="B1" s="120" t="s">
        <v>108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</row>
    <row r="3" spans="2:12" ht="15" thickBot="1" x14ac:dyDescent="0.25"/>
    <row r="4" spans="2:12" x14ac:dyDescent="0.2">
      <c r="B4" s="2" t="s">
        <v>18</v>
      </c>
      <c r="C4" s="3"/>
      <c r="E4" s="2" t="s">
        <v>44</v>
      </c>
      <c r="F4" s="3"/>
      <c r="H4" s="2" t="s">
        <v>47</v>
      </c>
      <c r="I4" s="3"/>
      <c r="K4" s="2" t="s">
        <v>50</v>
      </c>
      <c r="L4" s="3"/>
    </row>
    <row r="5" spans="2:12" x14ac:dyDescent="0.2">
      <c r="B5" s="4" t="s">
        <v>35</v>
      </c>
      <c r="C5" s="5" t="s">
        <v>68</v>
      </c>
      <c r="E5" s="4" t="s">
        <v>35</v>
      </c>
      <c r="F5" s="5" t="s">
        <v>68</v>
      </c>
      <c r="H5" s="4" t="s">
        <v>35</v>
      </c>
      <c r="I5" s="5" t="s">
        <v>68</v>
      </c>
      <c r="K5" s="4" t="s">
        <v>35</v>
      </c>
      <c r="L5" s="5" t="s">
        <v>68</v>
      </c>
    </row>
    <row r="6" spans="2:12" x14ac:dyDescent="0.2">
      <c r="B6" s="6">
        <v>1</v>
      </c>
      <c r="C6" s="8" t="s">
        <v>81</v>
      </c>
      <c r="E6" s="6">
        <v>1</v>
      </c>
      <c r="F6" s="8" t="s">
        <v>73</v>
      </c>
      <c r="H6" s="6">
        <v>1</v>
      </c>
      <c r="I6" s="8" t="s">
        <v>72</v>
      </c>
      <c r="K6" s="6">
        <v>1</v>
      </c>
      <c r="L6" s="8" t="s">
        <v>82</v>
      </c>
    </row>
    <row r="7" spans="2:12" x14ac:dyDescent="0.2">
      <c r="B7" s="6">
        <v>2</v>
      </c>
      <c r="C7" s="8" t="s">
        <v>75</v>
      </c>
      <c r="E7" s="6">
        <v>2</v>
      </c>
      <c r="F7" s="8" t="s">
        <v>79</v>
      </c>
      <c r="H7" s="6">
        <v>2</v>
      </c>
      <c r="I7" s="8" t="s">
        <v>98</v>
      </c>
      <c r="K7" s="6">
        <v>2</v>
      </c>
      <c r="L7" s="8" t="s">
        <v>93</v>
      </c>
    </row>
    <row r="8" spans="2:12" x14ac:dyDescent="0.2">
      <c r="B8" s="6">
        <v>3</v>
      </c>
      <c r="C8" s="8" t="s">
        <v>91</v>
      </c>
      <c r="E8" s="6">
        <v>3</v>
      </c>
      <c r="F8" s="8" t="s">
        <v>84</v>
      </c>
      <c r="H8" s="6">
        <v>3</v>
      </c>
      <c r="I8" s="8" t="s">
        <v>86</v>
      </c>
      <c r="K8" s="6">
        <v>3</v>
      </c>
      <c r="L8" s="8" t="s">
        <v>69</v>
      </c>
    </row>
    <row r="9" spans="2:12" ht="15" thickBot="1" x14ac:dyDescent="0.25">
      <c r="B9" s="7">
        <v>4</v>
      </c>
      <c r="C9" s="9" t="s">
        <v>99</v>
      </c>
      <c r="E9" s="7">
        <v>4</v>
      </c>
      <c r="F9" s="9" t="s">
        <v>96</v>
      </c>
      <c r="H9" s="7">
        <v>4</v>
      </c>
      <c r="I9" s="9" t="s">
        <v>76</v>
      </c>
      <c r="K9" s="7">
        <v>4</v>
      </c>
      <c r="L9" s="9" t="s">
        <v>110</v>
      </c>
    </row>
    <row r="11" spans="2:12" ht="15" thickBot="1" x14ac:dyDescent="0.25"/>
    <row r="12" spans="2:12" x14ac:dyDescent="0.2">
      <c r="B12" s="2" t="s">
        <v>52</v>
      </c>
      <c r="C12" s="3"/>
      <c r="E12" s="2" t="s">
        <v>54</v>
      </c>
      <c r="F12" s="3"/>
      <c r="H12" s="2" t="s">
        <v>56</v>
      </c>
      <c r="I12" s="3"/>
      <c r="K12" s="2" t="s">
        <v>58</v>
      </c>
      <c r="L12" s="3"/>
    </row>
    <row r="13" spans="2:12" x14ac:dyDescent="0.2">
      <c r="B13" s="4" t="s">
        <v>35</v>
      </c>
      <c r="C13" s="5" t="s">
        <v>68</v>
      </c>
      <c r="E13" s="4" t="s">
        <v>35</v>
      </c>
      <c r="F13" s="5" t="s">
        <v>68</v>
      </c>
      <c r="H13" s="4" t="s">
        <v>35</v>
      </c>
      <c r="I13" s="5" t="s">
        <v>68</v>
      </c>
      <c r="K13" s="4" t="s">
        <v>35</v>
      </c>
      <c r="L13" s="5" t="s">
        <v>68</v>
      </c>
    </row>
    <row r="14" spans="2:12" x14ac:dyDescent="0.2">
      <c r="B14" s="6">
        <v>1</v>
      </c>
      <c r="C14" s="8" t="s">
        <v>85</v>
      </c>
      <c r="E14" s="6">
        <v>1</v>
      </c>
      <c r="F14" s="8" t="s">
        <v>83</v>
      </c>
      <c r="H14" s="6">
        <v>1</v>
      </c>
      <c r="I14" s="8" t="s">
        <v>71</v>
      </c>
      <c r="K14" s="6">
        <v>1</v>
      </c>
      <c r="L14" s="8" t="s">
        <v>70</v>
      </c>
    </row>
    <row r="15" spans="2:12" x14ac:dyDescent="0.2">
      <c r="B15" s="6">
        <v>2</v>
      </c>
      <c r="C15" s="8" t="s">
        <v>88</v>
      </c>
      <c r="E15" s="6">
        <v>2</v>
      </c>
      <c r="F15" s="8" t="s">
        <v>77</v>
      </c>
      <c r="H15" s="6">
        <v>2</v>
      </c>
      <c r="I15" s="8" t="s">
        <v>92</v>
      </c>
      <c r="K15" s="6">
        <v>2</v>
      </c>
      <c r="L15" s="8" t="s">
        <v>87</v>
      </c>
    </row>
    <row r="16" spans="2:12" x14ac:dyDescent="0.2">
      <c r="B16" s="6">
        <v>3</v>
      </c>
      <c r="C16" s="8" t="s">
        <v>95</v>
      </c>
      <c r="E16" s="6">
        <v>3</v>
      </c>
      <c r="F16" s="8" t="s">
        <v>90</v>
      </c>
      <c r="H16" s="6">
        <v>3</v>
      </c>
      <c r="I16" s="8" t="s">
        <v>89</v>
      </c>
      <c r="K16" s="6">
        <v>3</v>
      </c>
      <c r="L16" s="8" t="s">
        <v>97</v>
      </c>
    </row>
    <row r="17" spans="2:12" ht="15" thickBot="1" x14ac:dyDescent="0.25">
      <c r="B17" s="7">
        <v>4</v>
      </c>
      <c r="C17" s="9" t="s">
        <v>74</v>
      </c>
      <c r="E17" s="7">
        <v>4</v>
      </c>
      <c r="F17" s="9" t="s">
        <v>94</v>
      </c>
      <c r="H17" s="7">
        <v>4</v>
      </c>
      <c r="I17" s="9" t="s">
        <v>78</v>
      </c>
      <c r="K17" s="7">
        <v>4</v>
      </c>
      <c r="L17" s="9" t="s">
        <v>80</v>
      </c>
    </row>
  </sheetData>
  <sheetProtection password="CC01" sheet="1" objects="1" scenarios="1" selectLockedCells="1"/>
  <conditionalFormatting sqref="B5:C9">
    <cfRule type="cellIs" dxfId="115" priority="144" operator="equal">
      <formula>"Brasil"</formula>
    </cfRule>
  </conditionalFormatting>
  <conditionalFormatting sqref="C6">
    <cfRule type="expression" dxfId="114" priority="143">
      <formula>E6=3</formula>
    </cfRule>
  </conditionalFormatting>
  <conditionalFormatting sqref="C7">
    <cfRule type="expression" dxfId="113" priority="142">
      <formula>E7=3</formula>
    </cfRule>
  </conditionalFormatting>
  <conditionalFormatting sqref="C6">
    <cfRule type="expression" dxfId="112" priority="141">
      <formula>E6=3</formula>
    </cfRule>
  </conditionalFormatting>
  <conditionalFormatting sqref="C7">
    <cfRule type="expression" dxfId="111" priority="140">
      <formula>E7=3</formula>
    </cfRule>
  </conditionalFormatting>
  <conditionalFormatting sqref="C6">
    <cfRule type="expression" dxfId="110" priority="139">
      <formula>E6=3</formula>
    </cfRule>
  </conditionalFormatting>
  <conditionalFormatting sqref="C7">
    <cfRule type="expression" dxfId="109" priority="138">
      <formula>E7=3</formula>
    </cfRule>
  </conditionalFormatting>
  <conditionalFormatting sqref="B4">
    <cfRule type="cellIs" dxfId="108" priority="137" operator="equal">
      <formula>"Brasil"</formula>
    </cfRule>
  </conditionalFormatting>
  <conditionalFormatting sqref="E5:F9">
    <cfRule type="cellIs" dxfId="107" priority="56" operator="equal">
      <formula>"Brasil"</formula>
    </cfRule>
  </conditionalFormatting>
  <conditionalFormatting sqref="F6">
    <cfRule type="expression" dxfId="106" priority="55">
      <formula>H6=3</formula>
    </cfRule>
  </conditionalFormatting>
  <conditionalFormatting sqref="F7">
    <cfRule type="expression" dxfId="105" priority="54">
      <formula>H7=3</formula>
    </cfRule>
  </conditionalFormatting>
  <conditionalFormatting sqref="F6">
    <cfRule type="expression" dxfId="104" priority="53">
      <formula>H6=3</formula>
    </cfRule>
  </conditionalFormatting>
  <conditionalFormatting sqref="F7">
    <cfRule type="expression" dxfId="103" priority="52">
      <formula>H7=3</formula>
    </cfRule>
  </conditionalFormatting>
  <conditionalFormatting sqref="F6">
    <cfRule type="expression" dxfId="102" priority="51">
      <formula>H6=3</formula>
    </cfRule>
  </conditionalFormatting>
  <conditionalFormatting sqref="F7">
    <cfRule type="expression" dxfId="101" priority="50">
      <formula>H7=3</formula>
    </cfRule>
  </conditionalFormatting>
  <conditionalFormatting sqref="E4">
    <cfRule type="cellIs" dxfId="100" priority="49" operator="equal">
      <formula>"Brasil"</formula>
    </cfRule>
  </conditionalFormatting>
  <conditionalFormatting sqref="H5:I9">
    <cfRule type="cellIs" dxfId="99" priority="48" operator="equal">
      <formula>"Brasil"</formula>
    </cfRule>
  </conditionalFormatting>
  <conditionalFormatting sqref="I6">
    <cfRule type="expression" dxfId="98" priority="47">
      <formula>K6=3</formula>
    </cfRule>
  </conditionalFormatting>
  <conditionalFormatting sqref="I7">
    <cfRule type="expression" dxfId="97" priority="46">
      <formula>K7=3</formula>
    </cfRule>
  </conditionalFormatting>
  <conditionalFormatting sqref="I6">
    <cfRule type="expression" dxfId="96" priority="45">
      <formula>K6=3</formula>
    </cfRule>
  </conditionalFormatting>
  <conditionalFormatting sqref="I7">
    <cfRule type="expression" dxfId="95" priority="44">
      <formula>K7=3</formula>
    </cfRule>
  </conditionalFormatting>
  <conditionalFormatting sqref="I6">
    <cfRule type="expression" dxfId="94" priority="43">
      <formula>K6=3</formula>
    </cfRule>
  </conditionalFormatting>
  <conditionalFormatting sqref="I7">
    <cfRule type="expression" dxfId="93" priority="42">
      <formula>K7=3</formula>
    </cfRule>
  </conditionalFormatting>
  <conditionalFormatting sqref="H4">
    <cfRule type="cellIs" dxfId="92" priority="41" operator="equal">
      <formula>"Brasil"</formula>
    </cfRule>
  </conditionalFormatting>
  <conditionalFormatting sqref="K5:L9">
    <cfRule type="cellIs" dxfId="91" priority="40" operator="equal">
      <formula>"Brasil"</formula>
    </cfRule>
  </conditionalFormatting>
  <conditionalFormatting sqref="L6">
    <cfRule type="expression" dxfId="90" priority="39">
      <formula>N6=3</formula>
    </cfRule>
  </conditionalFormatting>
  <conditionalFormatting sqref="L7">
    <cfRule type="expression" dxfId="89" priority="38">
      <formula>N7=3</formula>
    </cfRule>
  </conditionalFormatting>
  <conditionalFormatting sqref="L6">
    <cfRule type="expression" dxfId="88" priority="37">
      <formula>N6=3</formula>
    </cfRule>
  </conditionalFormatting>
  <conditionalFormatting sqref="L7">
    <cfRule type="expression" dxfId="87" priority="36">
      <formula>N7=3</formula>
    </cfRule>
  </conditionalFormatting>
  <conditionalFormatting sqref="L6">
    <cfRule type="expression" dxfId="86" priority="35">
      <formula>N6=3</formula>
    </cfRule>
  </conditionalFormatting>
  <conditionalFormatting sqref="L7">
    <cfRule type="expression" dxfId="85" priority="34">
      <formula>N7=3</formula>
    </cfRule>
  </conditionalFormatting>
  <conditionalFormatting sqref="K4">
    <cfRule type="cellIs" dxfId="84" priority="33" operator="equal">
      <formula>"Brasil"</formula>
    </cfRule>
  </conditionalFormatting>
  <conditionalFormatting sqref="K13:L17">
    <cfRule type="cellIs" dxfId="83" priority="32" operator="equal">
      <formula>"Brasil"</formula>
    </cfRule>
  </conditionalFormatting>
  <conditionalFormatting sqref="L14">
    <cfRule type="expression" dxfId="82" priority="31">
      <formula>N14=3</formula>
    </cfRule>
  </conditionalFormatting>
  <conditionalFormatting sqref="L15">
    <cfRule type="expression" dxfId="81" priority="30">
      <formula>N15=3</formula>
    </cfRule>
  </conditionalFormatting>
  <conditionalFormatting sqref="L14">
    <cfRule type="expression" dxfId="80" priority="29">
      <formula>N14=3</formula>
    </cfRule>
  </conditionalFormatting>
  <conditionalFormatting sqref="L15">
    <cfRule type="expression" dxfId="79" priority="28">
      <formula>N15=3</formula>
    </cfRule>
  </conditionalFormatting>
  <conditionalFormatting sqref="L14">
    <cfRule type="expression" dxfId="78" priority="27">
      <formula>N14=3</formula>
    </cfRule>
  </conditionalFormatting>
  <conditionalFormatting sqref="L15">
    <cfRule type="expression" dxfId="77" priority="26">
      <formula>N15=3</formula>
    </cfRule>
  </conditionalFormatting>
  <conditionalFormatting sqref="K12">
    <cfRule type="cellIs" dxfId="76" priority="25" operator="equal">
      <formula>"Brasil"</formula>
    </cfRule>
  </conditionalFormatting>
  <conditionalFormatting sqref="H13:I17">
    <cfRule type="cellIs" dxfId="75" priority="24" operator="equal">
      <formula>"Brasil"</formula>
    </cfRule>
  </conditionalFormatting>
  <conditionalFormatting sqref="I14">
    <cfRule type="expression" dxfId="74" priority="23">
      <formula>K14=3</formula>
    </cfRule>
  </conditionalFormatting>
  <conditionalFormatting sqref="I15">
    <cfRule type="expression" dxfId="73" priority="22">
      <formula>K15=3</formula>
    </cfRule>
  </conditionalFormatting>
  <conditionalFormatting sqref="I14">
    <cfRule type="expression" dxfId="72" priority="21">
      <formula>K14=3</formula>
    </cfRule>
  </conditionalFormatting>
  <conditionalFormatting sqref="I15">
    <cfRule type="expression" dxfId="71" priority="20">
      <formula>K15=3</formula>
    </cfRule>
  </conditionalFormatting>
  <conditionalFormatting sqref="I14">
    <cfRule type="expression" dxfId="70" priority="19">
      <formula>K14=3</formula>
    </cfRule>
  </conditionalFormatting>
  <conditionalFormatting sqref="I15">
    <cfRule type="expression" dxfId="69" priority="18">
      <formula>K15=3</formula>
    </cfRule>
  </conditionalFormatting>
  <conditionalFormatting sqref="H12">
    <cfRule type="cellIs" dxfId="68" priority="17" operator="equal">
      <formula>"Brasil"</formula>
    </cfRule>
  </conditionalFormatting>
  <conditionalFormatting sqref="E13:F17">
    <cfRule type="cellIs" dxfId="67" priority="16" operator="equal">
      <formula>"Brasil"</formula>
    </cfRule>
  </conditionalFormatting>
  <conditionalFormatting sqref="F14">
    <cfRule type="expression" dxfId="66" priority="15">
      <formula>H14=3</formula>
    </cfRule>
  </conditionalFormatting>
  <conditionalFormatting sqref="F15">
    <cfRule type="expression" dxfId="65" priority="14">
      <formula>H15=3</formula>
    </cfRule>
  </conditionalFormatting>
  <conditionalFormatting sqref="F14">
    <cfRule type="expression" dxfId="64" priority="13">
      <formula>H14=3</formula>
    </cfRule>
  </conditionalFormatting>
  <conditionalFormatting sqref="F15">
    <cfRule type="expression" dxfId="63" priority="12">
      <formula>H15=3</formula>
    </cfRule>
  </conditionalFormatting>
  <conditionalFormatting sqref="F14">
    <cfRule type="expression" dxfId="62" priority="11">
      <formula>H14=3</formula>
    </cfRule>
  </conditionalFormatting>
  <conditionalFormatting sqref="F15">
    <cfRule type="expression" dxfId="61" priority="10">
      <formula>H15=3</formula>
    </cfRule>
  </conditionalFormatting>
  <conditionalFormatting sqref="E12">
    <cfRule type="cellIs" dxfId="60" priority="9" operator="equal">
      <formula>"Brasil"</formula>
    </cfRule>
  </conditionalFormatting>
  <conditionalFormatting sqref="B13:C17">
    <cfRule type="cellIs" dxfId="59" priority="8" operator="equal">
      <formula>"Brasil"</formula>
    </cfRule>
  </conditionalFormatting>
  <conditionalFormatting sqref="C14">
    <cfRule type="expression" dxfId="58" priority="7">
      <formula>E14=3</formula>
    </cfRule>
  </conditionalFormatting>
  <conditionalFormatting sqref="C15">
    <cfRule type="expression" dxfId="57" priority="6">
      <formula>E15=3</formula>
    </cfRule>
  </conditionalFormatting>
  <conditionalFormatting sqref="C14">
    <cfRule type="expression" dxfId="56" priority="5">
      <formula>E14=3</formula>
    </cfRule>
  </conditionalFormatting>
  <conditionalFormatting sqref="C15">
    <cfRule type="expression" dxfId="55" priority="4">
      <formula>E15=3</formula>
    </cfRule>
  </conditionalFormatting>
  <conditionalFormatting sqref="C14">
    <cfRule type="expression" dxfId="54" priority="3">
      <formula>E14=3</formula>
    </cfRule>
  </conditionalFormatting>
  <conditionalFormatting sqref="C15">
    <cfRule type="expression" dxfId="53" priority="2">
      <formula>E15=3</formula>
    </cfRule>
  </conditionalFormatting>
  <conditionalFormatting sqref="B12">
    <cfRule type="cellIs" dxfId="52" priority="1" operator="equal">
      <formula>"Brasil"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96CCF-F333-49AF-850B-159476231F1C}">
  <dimension ref="A1:AN50"/>
  <sheetViews>
    <sheetView showRowColHeaders="0" tabSelected="1" topLeftCell="A13" workbookViewId="0">
      <selection activeCell="F40" sqref="F40"/>
    </sheetView>
  </sheetViews>
  <sheetFormatPr defaultRowHeight="15" x14ac:dyDescent="0.25"/>
  <cols>
    <col min="1" max="1" width="9.140625" style="29"/>
    <col min="2" max="2" width="4.28515625" style="29" bestFit="1" customWidth="1"/>
    <col min="3" max="3" width="8.7109375" style="29" customWidth="1"/>
    <col min="4" max="4" width="7.7109375" style="29" hidden="1" customWidth="1"/>
    <col min="5" max="5" width="22.7109375" style="29" customWidth="1"/>
    <col min="6" max="6" width="3.7109375" style="29" customWidth="1"/>
    <col min="7" max="7" width="2.7109375" style="29" customWidth="1"/>
    <col min="8" max="8" width="3.7109375" style="29" customWidth="1"/>
    <col min="9" max="9" width="22.7109375" style="29" customWidth="1"/>
    <col min="10" max="13" width="0" style="29" hidden="1" customWidth="1"/>
    <col min="14" max="14" width="9.140625" style="29"/>
    <col min="15" max="15" width="3.140625" style="29" hidden="1" customWidth="1"/>
    <col min="16" max="16" width="15.42578125" style="29" hidden="1" customWidth="1"/>
    <col min="17" max="17" width="7.42578125" style="29" hidden="1" customWidth="1"/>
    <col min="18" max="18" width="6.28515625" style="29" hidden="1" customWidth="1"/>
    <col min="19" max="19" width="3.5703125" style="29" hidden="1" customWidth="1"/>
    <col min="20" max="20" width="4.85546875" style="29" hidden="1" customWidth="1"/>
    <col min="21" max="21" width="4.140625" style="29" hidden="1" customWidth="1"/>
    <col min="22" max="22" width="3.42578125" style="29" hidden="1" customWidth="1"/>
    <col min="23" max="24" width="3.5703125" style="29" hidden="1" customWidth="1"/>
    <col min="25" max="25" width="4.5703125" style="29" hidden="1" customWidth="1"/>
    <col min="26" max="26" width="4.7109375" style="29" hidden="1" customWidth="1"/>
    <col min="27" max="27" width="5.7109375" style="29" hidden="1" customWidth="1"/>
    <col min="28" max="29" width="3.85546875" style="29" hidden="1" customWidth="1"/>
    <col min="30" max="30" width="3" style="29" hidden="1" customWidth="1"/>
    <col min="31" max="31" width="2.7109375" style="29" customWidth="1"/>
    <col min="32" max="32" width="22.7109375" style="29" customWidth="1"/>
    <col min="33" max="37" width="3.7109375" style="29" customWidth="1"/>
    <col min="38" max="40" width="4.7109375" style="29" customWidth="1"/>
    <col min="41" max="41" width="9.140625" style="29"/>
    <col min="42" max="42" width="3.7109375" style="29" customWidth="1"/>
    <col min="43" max="43" width="20.7109375" style="29" customWidth="1"/>
    <col min="44" max="16384" width="9.140625" style="29"/>
  </cols>
  <sheetData>
    <row r="1" spans="1:40" s="95" customFormat="1" ht="27.75" customHeight="1" thickBot="1" x14ac:dyDescent="0.3">
      <c r="A1" s="94"/>
      <c r="B1" s="96" t="s">
        <v>109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7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100"/>
      <c r="AF1" s="100"/>
      <c r="AG1" s="100"/>
      <c r="AH1" s="100"/>
      <c r="AI1" s="100"/>
      <c r="AJ1" s="100"/>
      <c r="AK1" s="100"/>
      <c r="AL1" s="100"/>
      <c r="AM1" s="100"/>
      <c r="AN1" s="100"/>
    </row>
    <row r="2" spans="1:40" x14ac:dyDescent="0.25">
      <c r="A2" s="30"/>
      <c r="B2" s="74" t="s">
        <v>9</v>
      </c>
      <c r="C2" s="75" t="s">
        <v>10</v>
      </c>
      <c r="D2" s="76" t="s">
        <v>11</v>
      </c>
      <c r="E2" s="76" t="s">
        <v>68</v>
      </c>
      <c r="F2" s="178" t="s">
        <v>13</v>
      </c>
      <c r="G2" s="178"/>
      <c r="H2" s="178"/>
      <c r="I2" s="77" t="s">
        <v>68</v>
      </c>
      <c r="J2" s="31"/>
      <c r="K2" s="32"/>
      <c r="L2" s="32"/>
      <c r="M2" s="33"/>
      <c r="N2" s="34"/>
      <c r="O2" s="35"/>
      <c r="P2" s="36" t="s">
        <v>14</v>
      </c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8"/>
      <c r="AE2" s="86" t="s">
        <v>14</v>
      </c>
      <c r="AF2" s="78"/>
      <c r="AG2" s="78"/>
      <c r="AH2" s="78"/>
      <c r="AI2" s="78"/>
      <c r="AJ2" s="78"/>
      <c r="AK2" s="78"/>
      <c r="AL2" s="78"/>
      <c r="AM2" s="78"/>
      <c r="AN2" s="79"/>
    </row>
    <row r="3" spans="1:40" x14ac:dyDescent="0.25">
      <c r="A3" s="39"/>
      <c r="B3" s="132" t="s">
        <v>15</v>
      </c>
      <c r="C3" s="80">
        <v>45823</v>
      </c>
      <c r="D3" s="40" t="s">
        <v>16</v>
      </c>
      <c r="E3" s="11" t="str">
        <f>P5</f>
        <v>Palmeiras</v>
      </c>
      <c r="F3" s="21">
        <v>0</v>
      </c>
      <c r="G3" s="12" t="s">
        <v>17</v>
      </c>
      <c r="H3" s="21">
        <v>0</v>
      </c>
      <c r="I3" s="13" t="str">
        <f>P6</f>
        <v>Porto</v>
      </c>
      <c r="J3" s="42" t="str">
        <f t="shared" ref="J3:J34" si="0">IF(F3=H3,"empate",IF(F3&gt;H3,E3,I3))</f>
        <v>empate</v>
      </c>
      <c r="K3" s="43" t="str">
        <f t="shared" ref="K3:K34" si="1">IF(F3="","",IF(H3="","",IF(J3="empate",E3,"")))</f>
        <v>Palmeiras</v>
      </c>
      <c r="L3" s="43" t="str">
        <f t="shared" ref="L3:L34" si="2">IF(E3="","",IF(F3="","",IF(M3="empate",I3,"")))</f>
        <v>Porto</v>
      </c>
      <c r="M3" s="44" t="str">
        <f t="shared" ref="M3:M34" si="3">IF(F3=H3,"empate",IF(F3&lt;H3,E3,I3))</f>
        <v>empate</v>
      </c>
      <c r="N3" s="45"/>
      <c r="O3" s="46"/>
      <c r="P3" s="47" t="s">
        <v>18</v>
      </c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9"/>
      <c r="AE3" s="87" t="s">
        <v>18</v>
      </c>
      <c r="AF3" s="88"/>
      <c r="AG3" s="88"/>
      <c r="AH3" s="88"/>
      <c r="AI3" s="88"/>
      <c r="AJ3" s="88"/>
      <c r="AK3" s="88"/>
      <c r="AL3" s="88"/>
      <c r="AM3" s="88"/>
      <c r="AN3" s="89"/>
    </row>
    <row r="4" spans="1:40" x14ac:dyDescent="0.25">
      <c r="A4" s="50"/>
      <c r="B4" s="132" t="s">
        <v>15</v>
      </c>
      <c r="C4" s="80">
        <v>45822</v>
      </c>
      <c r="D4" s="40" t="s">
        <v>19</v>
      </c>
      <c r="E4" s="11" t="str">
        <f>P7</f>
        <v>Al-Ahly</v>
      </c>
      <c r="F4" s="21">
        <v>0</v>
      </c>
      <c r="G4" s="12" t="s">
        <v>17</v>
      </c>
      <c r="H4" s="21">
        <v>0</v>
      </c>
      <c r="I4" s="13" t="str">
        <f>P8</f>
        <v>Inter Miami</v>
      </c>
      <c r="J4" s="42" t="str">
        <f t="shared" si="0"/>
        <v>empate</v>
      </c>
      <c r="K4" s="43" t="str">
        <f t="shared" si="1"/>
        <v>Al-Ahly</v>
      </c>
      <c r="L4" s="43" t="str">
        <f t="shared" si="2"/>
        <v>Inter Miami</v>
      </c>
      <c r="M4" s="44" t="str">
        <f t="shared" si="3"/>
        <v>empate</v>
      </c>
      <c r="N4" s="51"/>
      <c r="O4" s="52" t="s">
        <v>20</v>
      </c>
      <c r="P4" s="4" t="s">
        <v>21</v>
      </c>
      <c r="Q4" s="43" t="s">
        <v>22</v>
      </c>
      <c r="R4" s="43" t="s">
        <v>23</v>
      </c>
      <c r="S4" s="43" t="s">
        <v>24</v>
      </c>
      <c r="T4" s="43" t="s">
        <v>25</v>
      </c>
      <c r="U4" s="43" t="s">
        <v>26</v>
      </c>
      <c r="V4" s="43" t="s">
        <v>27</v>
      </c>
      <c r="W4" s="43" t="s">
        <v>28</v>
      </c>
      <c r="X4" s="43" t="s">
        <v>29</v>
      </c>
      <c r="Y4" s="43" t="s">
        <v>30</v>
      </c>
      <c r="Z4" s="43" t="s">
        <v>31</v>
      </c>
      <c r="AA4" s="43" t="s">
        <v>32</v>
      </c>
      <c r="AB4" s="43" t="s">
        <v>33</v>
      </c>
      <c r="AC4" s="44" t="s">
        <v>34</v>
      </c>
      <c r="AD4" s="50"/>
      <c r="AE4" s="132" t="s">
        <v>35</v>
      </c>
      <c r="AF4" s="12" t="s">
        <v>68</v>
      </c>
      <c r="AG4" s="12" t="s">
        <v>36</v>
      </c>
      <c r="AH4" s="12" t="s">
        <v>37</v>
      </c>
      <c r="AI4" s="12" t="s">
        <v>38</v>
      </c>
      <c r="AJ4" s="12" t="s">
        <v>39</v>
      </c>
      <c r="AK4" s="12" t="s">
        <v>40</v>
      </c>
      <c r="AL4" s="12" t="s">
        <v>27</v>
      </c>
      <c r="AM4" s="12" t="s">
        <v>28</v>
      </c>
      <c r="AN4" s="1" t="s">
        <v>29</v>
      </c>
    </row>
    <row r="5" spans="1:40" x14ac:dyDescent="0.25">
      <c r="A5" s="50"/>
      <c r="B5" s="132" t="s">
        <v>15</v>
      </c>
      <c r="C5" s="80">
        <v>45827</v>
      </c>
      <c r="D5" s="40" t="s">
        <v>41</v>
      </c>
      <c r="E5" s="11" t="str">
        <f>P5</f>
        <v>Palmeiras</v>
      </c>
      <c r="F5" s="21"/>
      <c r="G5" s="12" t="s">
        <v>17</v>
      </c>
      <c r="H5" s="21"/>
      <c r="I5" s="13" t="str">
        <f>P7</f>
        <v>Al-Ahly</v>
      </c>
      <c r="J5" s="42" t="str">
        <f t="shared" si="0"/>
        <v>empate</v>
      </c>
      <c r="K5" s="43" t="str">
        <f t="shared" si="1"/>
        <v/>
      </c>
      <c r="L5" s="43" t="str">
        <f t="shared" si="2"/>
        <v/>
      </c>
      <c r="M5" s="44" t="str">
        <f t="shared" si="3"/>
        <v>empate</v>
      </c>
      <c r="N5" s="51"/>
      <c r="O5" s="52">
        <f>RANK(Q5,$Q$5:$Q$8)+SUM(Y5:AB5)</f>
        <v>1</v>
      </c>
      <c r="P5" s="53" t="str">
        <f>Sorteios!C6</f>
        <v>Palmeiras</v>
      </c>
      <c r="Q5" s="43">
        <f>(S5*3)+(T5*1)</f>
        <v>1</v>
      </c>
      <c r="R5" s="43">
        <f>SUM(S5:U5)</f>
        <v>1</v>
      </c>
      <c r="S5" s="43">
        <f>COUNTIF(J:J,P5)</f>
        <v>0</v>
      </c>
      <c r="T5" s="43">
        <f>COUNTIF(K:K,P5)+COUNTIF(L:L,P5)</f>
        <v>1</v>
      </c>
      <c r="U5" s="43">
        <f>COUNTIF(M:M,P5)</f>
        <v>0</v>
      </c>
      <c r="V5" s="43">
        <f>SUMIF(E:E,P5,F:F)+SUMIF(I:I,P5,H:H)</f>
        <v>0</v>
      </c>
      <c r="W5" s="43">
        <f>SUMIF(E:E,P5,H:H)+SUMIF(I:I,P5,F:F)</f>
        <v>0</v>
      </c>
      <c r="X5" s="43">
        <f>V5-W5</f>
        <v>0</v>
      </c>
      <c r="Y5" s="43">
        <f>SUMPRODUCT(($Q$5:$Q$8=Q5)*($X$5:$X$8&gt;X5))</f>
        <v>0</v>
      </c>
      <c r="Z5" s="43">
        <f>SUMPRODUCT(($Q$5:$Q$8=Q5)*($X$5:$X$8=X5)*($V$5:$V$8&gt;V5))</f>
        <v>0</v>
      </c>
      <c r="AA5" s="43">
        <f>SUMPRODUCT(($Q$5:$Q$8=Q5)*($X$5:$X$8=X5)*($V$5:$V$8=V5)*($W$5:$W$8&gt;W5))</f>
        <v>0</v>
      </c>
      <c r="AB5" s="43">
        <f>SUMPRODUCT(($Q$5:$Q$8=Q5)*($X$5:$X$8=X5)*($V$5:$V$8=V5)*($W$5:$W$8=W5)*($AC$5:$AC$8&lt;AC5))</f>
        <v>0</v>
      </c>
      <c r="AC5" s="44">
        <v>1</v>
      </c>
      <c r="AD5" s="50"/>
      <c r="AE5" s="132">
        <v>1</v>
      </c>
      <c r="AF5" s="83" t="str">
        <f>VLOOKUP($AE5,$O$5:$X$8,2,FALSE)</f>
        <v>Palmeiras</v>
      </c>
      <c r="AG5" s="90">
        <f>VLOOKUP($AE5,$O$5:$X$8,3,FALSE)</f>
        <v>1</v>
      </c>
      <c r="AH5" s="90">
        <f>VLOOKUP($AE5,$O$5:$X$8,4,FALSE)</f>
        <v>1</v>
      </c>
      <c r="AI5" s="90">
        <f>VLOOKUP($AE5,$O$5:$X$8,5,FALSE)</f>
        <v>0</v>
      </c>
      <c r="AJ5" s="90">
        <f>VLOOKUP($AE5,$O$5:$X$8,6,FALSE)</f>
        <v>1</v>
      </c>
      <c r="AK5" s="90">
        <f>VLOOKUP($AE5,$O$5:$X$8,7,FALSE)</f>
        <v>0</v>
      </c>
      <c r="AL5" s="90">
        <f>VLOOKUP($AE5,$O$5:$X$8,8,FALSE)</f>
        <v>0</v>
      </c>
      <c r="AM5" s="90">
        <f>VLOOKUP($AE5,$O$5:$X$8,9,FALSE)</f>
        <v>0</v>
      </c>
      <c r="AN5" s="91">
        <f>VLOOKUP($AE5,$O$5:$X$8,10,FALSE)</f>
        <v>0</v>
      </c>
    </row>
    <row r="6" spans="1:40" x14ac:dyDescent="0.25">
      <c r="A6" s="50"/>
      <c r="B6" s="132" t="s">
        <v>15</v>
      </c>
      <c r="C6" s="80">
        <v>45827</v>
      </c>
      <c r="D6" s="40" t="s">
        <v>16</v>
      </c>
      <c r="E6" s="11" t="str">
        <f>P8</f>
        <v>Inter Miami</v>
      </c>
      <c r="F6" s="21"/>
      <c r="G6" s="12" t="s">
        <v>17</v>
      </c>
      <c r="H6" s="21"/>
      <c r="I6" s="13" t="str">
        <f>P6</f>
        <v>Porto</v>
      </c>
      <c r="J6" s="42" t="str">
        <f t="shared" si="0"/>
        <v>empate</v>
      </c>
      <c r="K6" s="43" t="str">
        <f t="shared" si="1"/>
        <v/>
      </c>
      <c r="L6" s="43" t="str">
        <f t="shared" si="2"/>
        <v/>
      </c>
      <c r="M6" s="44" t="str">
        <f t="shared" si="3"/>
        <v>empate</v>
      </c>
      <c r="N6" s="51"/>
      <c r="O6" s="52">
        <f t="shared" ref="O6:O8" si="4">RANK(Q6,$Q$5:$Q$8)+SUM(Y6:AB6)</f>
        <v>2</v>
      </c>
      <c r="P6" s="53" t="str">
        <f>Sorteios!C7</f>
        <v>Porto</v>
      </c>
      <c r="Q6" s="43">
        <f t="shared" ref="Q6:Q8" si="5">(S6*3)+(T6*1)</f>
        <v>1</v>
      </c>
      <c r="R6" s="43">
        <f t="shared" ref="R6:R8" si="6">SUM(S6:U6)</f>
        <v>1</v>
      </c>
      <c r="S6" s="43">
        <f>COUNTIF(J:J,P6)</f>
        <v>0</v>
      </c>
      <c r="T6" s="43">
        <f>COUNTIF(K:K,P6)+COUNTIF(L:L,P6)</f>
        <v>1</v>
      </c>
      <c r="U6" s="43">
        <f>COUNTIF(M:M,P6)</f>
        <v>0</v>
      </c>
      <c r="V6" s="43">
        <f>SUMIF(E:E,P6,F:F)+SUMIF(I:I,P6,H:H)</f>
        <v>0</v>
      </c>
      <c r="W6" s="43">
        <f>SUMIF(E:E,P6,H:H)+SUMIF(I:I,P6,F:F)</f>
        <v>0</v>
      </c>
      <c r="X6" s="43">
        <f t="shared" ref="X6:X8" si="7">V6-W6</f>
        <v>0</v>
      </c>
      <c r="Y6" s="43">
        <f t="shared" ref="Y6:Y8" si="8">SUMPRODUCT(($Q$5:$Q$8=Q6)*($X$5:$X$8&gt;X6))</f>
        <v>0</v>
      </c>
      <c r="Z6" s="43">
        <f t="shared" ref="Z6:Z8" si="9">SUMPRODUCT(($Q$5:$Q$8=Q6)*($X$5:$X$8=X6)*($V$5:$V$8&gt;V6))</f>
        <v>0</v>
      </c>
      <c r="AA6" s="43">
        <f t="shared" ref="AA6:AA8" si="10">SUMPRODUCT(($Q$5:$Q$8=Q6)*($X$5:$X$8=X6)*($V$5:$V$8=V6)*($W$5:$W$8&gt;W6))</f>
        <v>0</v>
      </c>
      <c r="AB6" s="43">
        <f t="shared" ref="AB6:AB8" si="11">SUMPRODUCT(($Q$5:$Q$8=Q6)*($X$5:$X$8=X6)*($V$5:$V$8=V6)*($W$5:$W$8=W6)*($AC$5:$AC$8&lt;AC6))</f>
        <v>1</v>
      </c>
      <c r="AC6" s="44">
        <v>2</v>
      </c>
      <c r="AD6" s="50"/>
      <c r="AE6" s="132">
        <v>2</v>
      </c>
      <c r="AF6" s="83" t="str">
        <f t="shared" ref="AF6:AF8" si="12">VLOOKUP($AE6,$O$5:$X$8,2,FALSE)</f>
        <v>Porto</v>
      </c>
      <c r="AG6" s="90">
        <f t="shared" ref="AG6:AG8" si="13">VLOOKUP($AE6,$O$5:$X$8,3,FALSE)</f>
        <v>1</v>
      </c>
      <c r="AH6" s="90">
        <f t="shared" ref="AH6:AH8" si="14">VLOOKUP($AE6,$O$5:$X$8,4,FALSE)</f>
        <v>1</v>
      </c>
      <c r="AI6" s="90">
        <f t="shared" ref="AI6:AI8" si="15">VLOOKUP($AE6,$O$5:$X$8,5,FALSE)</f>
        <v>0</v>
      </c>
      <c r="AJ6" s="90">
        <f t="shared" ref="AJ6:AJ8" si="16">VLOOKUP($AE6,$O$5:$X$8,6,FALSE)</f>
        <v>1</v>
      </c>
      <c r="AK6" s="90">
        <f t="shared" ref="AK6:AK8" si="17">VLOOKUP($AE6,$O$5:$X$8,7,FALSE)</f>
        <v>0</v>
      </c>
      <c r="AL6" s="90">
        <f t="shared" ref="AL6:AL8" si="18">VLOOKUP($AE6,$O$5:$X$8,8,FALSE)</f>
        <v>0</v>
      </c>
      <c r="AM6" s="90">
        <f t="shared" ref="AM6:AM8" si="19">VLOOKUP($AE6,$O$5:$X$8,9,FALSE)</f>
        <v>0</v>
      </c>
      <c r="AN6" s="91">
        <f t="shared" ref="AN6:AN8" si="20">VLOOKUP($AE6,$O$5:$X$8,10,FALSE)</f>
        <v>0</v>
      </c>
    </row>
    <row r="7" spans="1:40" x14ac:dyDescent="0.25">
      <c r="A7" s="50"/>
      <c r="B7" s="132" t="s">
        <v>15</v>
      </c>
      <c r="C7" s="80">
        <v>45861</v>
      </c>
      <c r="D7" s="40" t="s">
        <v>42</v>
      </c>
      <c r="E7" s="11" t="str">
        <f>P8</f>
        <v>Inter Miami</v>
      </c>
      <c r="F7" s="21"/>
      <c r="G7" s="12" t="s">
        <v>17</v>
      </c>
      <c r="H7" s="21"/>
      <c r="I7" s="13" t="str">
        <f>P5</f>
        <v>Palmeiras</v>
      </c>
      <c r="J7" s="42" t="str">
        <f t="shared" si="0"/>
        <v>empate</v>
      </c>
      <c r="K7" s="43" t="str">
        <f t="shared" si="1"/>
        <v/>
      </c>
      <c r="L7" s="43" t="str">
        <f t="shared" si="2"/>
        <v/>
      </c>
      <c r="M7" s="44" t="str">
        <f t="shared" si="3"/>
        <v>empate</v>
      </c>
      <c r="N7" s="51"/>
      <c r="O7" s="52">
        <f t="shared" si="4"/>
        <v>3</v>
      </c>
      <c r="P7" s="53" t="str">
        <f>Sorteios!C8</f>
        <v>Al-Ahly</v>
      </c>
      <c r="Q7" s="43">
        <f t="shared" si="5"/>
        <v>1</v>
      </c>
      <c r="R7" s="43">
        <f t="shared" si="6"/>
        <v>1</v>
      </c>
      <c r="S7" s="43">
        <f>COUNTIF(J:J,P7)</f>
        <v>0</v>
      </c>
      <c r="T7" s="43">
        <f>COUNTIF(K:K,P7)+COUNTIF(L:L,P7)</f>
        <v>1</v>
      </c>
      <c r="U7" s="43">
        <f>COUNTIF(M:M,P7)</f>
        <v>0</v>
      </c>
      <c r="V7" s="43">
        <f>SUMIF(E:E,P7,F:F)+SUMIF(I:I,P7,H:H)</f>
        <v>0</v>
      </c>
      <c r="W7" s="43">
        <f>SUMIF(E:E,P7,H:H)+SUMIF(I:I,P7,F:F)</f>
        <v>0</v>
      </c>
      <c r="X7" s="43">
        <f t="shared" si="7"/>
        <v>0</v>
      </c>
      <c r="Y7" s="43">
        <f t="shared" si="8"/>
        <v>0</v>
      </c>
      <c r="Z7" s="43">
        <f t="shared" si="9"/>
        <v>0</v>
      </c>
      <c r="AA7" s="43">
        <f t="shared" si="10"/>
        <v>0</v>
      </c>
      <c r="AB7" s="43">
        <f t="shared" si="11"/>
        <v>2</v>
      </c>
      <c r="AC7" s="44">
        <v>3</v>
      </c>
      <c r="AD7" s="50"/>
      <c r="AE7" s="132">
        <v>3</v>
      </c>
      <c r="AF7" s="83" t="str">
        <f t="shared" si="12"/>
        <v>Al-Ahly</v>
      </c>
      <c r="AG7" s="90">
        <f t="shared" si="13"/>
        <v>1</v>
      </c>
      <c r="AH7" s="90">
        <f t="shared" si="14"/>
        <v>1</v>
      </c>
      <c r="AI7" s="90">
        <f t="shared" si="15"/>
        <v>0</v>
      </c>
      <c r="AJ7" s="90">
        <f t="shared" si="16"/>
        <v>1</v>
      </c>
      <c r="AK7" s="90">
        <f t="shared" si="17"/>
        <v>0</v>
      </c>
      <c r="AL7" s="90">
        <f t="shared" si="18"/>
        <v>0</v>
      </c>
      <c r="AM7" s="90">
        <f t="shared" si="19"/>
        <v>0</v>
      </c>
      <c r="AN7" s="91">
        <f t="shared" si="20"/>
        <v>0</v>
      </c>
    </row>
    <row r="8" spans="1:40" ht="15.75" thickBot="1" x14ac:dyDescent="0.3">
      <c r="A8" s="50"/>
      <c r="B8" s="133" t="s">
        <v>15</v>
      </c>
      <c r="C8" s="81">
        <v>45831</v>
      </c>
      <c r="D8" s="54" t="s">
        <v>42</v>
      </c>
      <c r="E8" s="15" t="str">
        <f>P6</f>
        <v>Porto</v>
      </c>
      <c r="F8" s="22"/>
      <c r="G8" s="16" t="s">
        <v>17</v>
      </c>
      <c r="H8" s="22"/>
      <c r="I8" s="17" t="str">
        <f>P7</f>
        <v>Al-Ahly</v>
      </c>
      <c r="J8" s="56" t="str">
        <f t="shared" si="0"/>
        <v>empate</v>
      </c>
      <c r="K8" s="57" t="str">
        <f t="shared" si="1"/>
        <v/>
      </c>
      <c r="L8" s="57" t="str">
        <f t="shared" si="2"/>
        <v/>
      </c>
      <c r="M8" s="58" t="str">
        <f t="shared" si="3"/>
        <v>empate</v>
      </c>
      <c r="N8" s="59"/>
      <c r="O8" s="60">
        <f t="shared" si="4"/>
        <v>4</v>
      </c>
      <c r="P8" s="53" t="str">
        <f>Sorteios!C9</f>
        <v>Inter Miami</v>
      </c>
      <c r="Q8" s="43">
        <f t="shared" si="5"/>
        <v>1</v>
      </c>
      <c r="R8" s="43">
        <f t="shared" si="6"/>
        <v>1</v>
      </c>
      <c r="S8" s="43">
        <f>COUNTIF(J:J,P8)</f>
        <v>0</v>
      </c>
      <c r="T8" s="43">
        <f>COUNTIF(K:K,P8)+COUNTIF(L:L,P8)</f>
        <v>1</v>
      </c>
      <c r="U8" s="43">
        <f>COUNTIF(M:M,P8)</f>
        <v>0</v>
      </c>
      <c r="V8" s="43">
        <f>SUMIF(E:E,P8,F:F)+SUMIF(I:I,P8,H:H)</f>
        <v>0</v>
      </c>
      <c r="W8" s="43">
        <f>SUMIF(E:E,P8,H:H)+SUMIF(I:I,P8,F:F)</f>
        <v>0</v>
      </c>
      <c r="X8" s="43">
        <f t="shared" si="7"/>
        <v>0</v>
      </c>
      <c r="Y8" s="43">
        <f t="shared" si="8"/>
        <v>0</v>
      </c>
      <c r="Z8" s="43">
        <f t="shared" si="9"/>
        <v>0</v>
      </c>
      <c r="AA8" s="43">
        <f t="shared" si="10"/>
        <v>0</v>
      </c>
      <c r="AB8" s="43">
        <f t="shared" si="11"/>
        <v>3</v>
      </c>
      <c r="AC8" s="58">
        <v>4</v>
      </c>
      <c r="AD8" s="61"/>
      <c r="AE8" s="132">
        <v>4</v>
      </c>
      <c r="AF8" s="84" t="str">
        <f t="shared" si="12"/>
        <v>Inter Miami</v>
      </c>
      <c r="AG8" s="92">
        <f t="shared" si="13"/>
        <v>1</v>
      </c>
      <c r="AH8" s="92">
        <f t="shared" si="14"/>
        <v>1</v>
      </c>
      <c r="AI8" s="92">
        <f t="shared" si="15"/>
        <v>0</v>
      </c>
      <c r="AJ8" s="92">
        <f t="shared" si="16"/>
        <v>1</v>
      </c>
      <c r="AK8" s="92">
        <f t="shared" si="17"/>
        <v>0</v>
      </c>
      <c r="AL8" s="92">
        <f t="shared" si="18"/>
        <v>0</v>
      </c>
      <c r="AM8" s="92">
        <f t="shared" si="19"/>
        <v>0</v>
      </c>
      <c r="AN8" s="93">
        <f t="shared" si="20"/>
        <v>0</v>
      </c>
    </row>
    <row r="9" spans="1:40" x14ac:dyDescent="0.25">
      <c r="A9" s="50"/>
      <c r="B9" s="134" t="s">
        <v>43</v>
      </c>
      <c r="C9" s="18">
        <v>45823</v>
      </c>
      <c r="D9" s="62" t="s">
        <v>41</v>
      </c>
      <c r="E9" s="82" t="str">
        <f>P11</f>
        <v>Paris Saint-Germain</v>
      </c>
      <c r="F9" s="21">
        <v>4</v>
      </c>
      <c r="G9" s="99" t="s">
        <v>17</v>
      </c>
      <c r="H9" s="21">
        <v>0</v>
      </c>
      <c r="I9" s="85" t="str">
        <f>P12</f>
        <v>Atlético de Madrid</v>
      </c>
      <c r="J9" s="63" t="str">
        <f t="shared" si="0"/>
        <v>Paris Saint-Germain</v>
      </c>
      <c r="K9" s="64" t="str">
        <f t="shared" si="1"/>
        <v/>
      </c>
      <c r="L9" s="64" t="str">
        <f t="shared" si="2"/>
        <v/>
      </c>
      <c r="M9" s="65" t="str">
        <f t="shared" si="3"/>
        <v>Atlético de Madrid</v>
      </c>
      <c r="N9" s="66"/>
      <c r="O9" s="67"/>
      <c r="P9" s="47" t="s">
        <v>44</v>
      </c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9"/>
      <c r="AE9" s="87" t="s">
        <v>44</v>
      </c>
      <c r="AF9" s="88"/>
      <c r="AG9" s="88"/>
      <c r="AH9" s="88"/>
      <c r="AI9" s="88"/>
      <c r="AJ9" s="88"/>
      <c r="AK9" s="88"/>
      <c r="AL9" s="88"/>
      <c r="AM9" s="88"/>
      <c r="AN9" s="89"/>
    </row>
    <row r="10" spans="1:40" x14ac:dyDescent="0.25">
      <c r="A10" s="50"/>
      <c r="B10" s="132" t="s">
        <v>43</v>
      </c>
      <c r="C10" s="10">
        <v>45823</v>
      </c>
      <c r="D10" s="41" t="s">
        <v>16</v>
      </c>
      <c r="E10" s="83" t="str">
        <f>P13</f>
        <v>Botafogo</v>
      </c>
      <c r="F10" s="21">
        <v>2</v>
      </c>
      <c r="G10" s="90" t="s">
        <v>17</v>
      </c>
      <c r="H10" s="21">
        <v>1</v>
      </c>
      <c r="I10" s="26" t="str">
        <f>P14</f>
        <v>Seattle Sounders</v>
      </c>
      <c r="J10" s="42" t="str">
        <f t="shared" si="0"/>
        <v>Botafogo</v>
      </c>
      <c r="K10" s="43" t="str">
        <f t="shared" si="1"/>
        <v/>
      </c>
      <c r="L10" s="43" t="str">
        <f t="shared" si="2"/>
        <v/>
      </c>
      <c r="M10" s="44" t="str">
        <f t="shared" si="3"/>
        <v>Seattle Sounders</v>
      </c>
      <c r="N10" s="51"/>
      <c r="O10" s="52" t="s">
        <v>20</v>
      </c>
      <c r="P10" s="4" t="s">
        <v>21</v>
      </c>
      <c r="Q10" s="43" t="s">
        <v>22</v>
      </c>
      <c r="R10" s="43" t="s">
        <v>23</v>
      </c>
      <c r="S10" s="43" t="s">
        <v>24</v>
      </c>
      <c r="T10" s="43" t="s">
        <v>25</v>
      </c>
      <c r="U10" s="43" t="s">
        <v>26</v>
      </c>
      <c r="V10" s="43" t="s">
        <v>27</v>
      </c>
      <c r="W10" s="43" t="s">
        <v>28</v>
      </c>
      <c r="X10" s="43" t="s">
        <v>29</v>
      </c>
      <c r="Y10" s="43" t="s">
        <v>30</v>
      </c>
      <c r="Z10" s="43" t="s">
        <v>31</v>
      </c>
      <c r="AA10" s="43" t="s">
        <v>32</v>
      </c>
      <c r="AB10" s="43" t="s">
        <v>33</v>
      </c>
      <c r="AC10" s="44" t="s">
        <v>34</v>
      </c>
      <c r="AD10" s="50"/>
      <c r="AE10" s="132" t="s">
        <v>35</v>
      </c>
      <c r="AF10" s="12" t="s">
        <v>68</v>
      </c>
      <c r="AG10" s="12" t="s">
        <v>36</v>
      </c>
      <c r="AH10" s="12" t="s">
        <v>37</v>
      </c>
      <c r="AI10" s="12" t="s">
        <v>38</v>
      </c>
      <c r="AJ10" s="12" t="s">
        <v>39</v>
      </c>
      <c r="AK10" s="12" t="s">
        <v>40</v>
      </c>
      <c r="AL10" s="12" t="s">
        <v>27</v>
      </c>
      <c r="AM10" s="12" t="s">
        <v>28</v>
      </c>
      <c r="AN10" s="1" t="s">
        <v>29</v>
      </c>
    </row>
    <row r="11" spans="1:40" x14ac:dyDescent="0.25">
      <c r="A11" s="50"/>
      <c r="B11" s="132" t="s">
        <v>43</v>
      </c>
      <c r="C11" s="10">
        <v>45827</v>
      </c>
      <c r="D11" s="41" t="s">
        <v>19</v>
      </c>
      <c r="E11" s="83" t="str">
        <f>P11</f>
        <v>Paris Saint-Germain</v>
      </c>
      <c r="F11" s="21"/>
      <c r="G11" s="90" t="s">
        <v>17</v>
      </c>
      <c r="H11" s="21"/>
      <c r="I11" s="26" t="str">
        <f>P13</f>
        <v>Botafogo</v>
      </c>
      <c r="J11" s="42" t="str">
        <f t="shared" si="0"/>
        <v>empate</v>
      </c>
      <c r="K11" s="43" t="str">
        <f t="shared" si="1"/>
        <v/>
      </c>
      <c r="L11" s="43" t="str">
        <f t="shared" si="2"/>
        <v/>
      </c>
      <c r="M11" s="44" t="str">
        <f t="shared" si="3"/>
        <v>empate</v>
      </c>
      <c r="N11" s="51"/>
      <c r="O11" s="52">
        <f>RANK(Q11,$Q$11:$Q$14)+SUM(Y11:AB11)</f>
        <v>1</v>
      </c>
      <c r="P11" s="53" t="str">
        <f>Sorteios!F6</f>
        <v>Paris Saint-Germain</v>
      </c>
      <c r="Q11" s="43">
        <f>(S11*3)+(T11*1)</f>
        <v>3</v>
      </c>
      <c r="R11" s="43">
        <f>SUM(S11:U11)</f>
        <v>1</v>
      </c>
      <c r="S11" s="43">
        <f>COUNTIF(J:J,P11)</f>
        <v>1</v>
      </c>
      <c r="T11" s="43">
        <f>COUNTIF(K:K,P11)+COUNTIF(L:L,P11)</f>
        <v>0</v>
      </c>
      <c r="U11" s="43">
        <f>COUNTIF(M:M,P11)</f>
        <v>0</v>
      </c>
      <c r="V11" s="43">
        <f>SUMIF(E:E,P11,F:F)+SUMIF(I:I,P11,H:H)</f>
        <v>4</v>
      </c>
      <c r="W11" s="43">
        <f>SUMIF(E:E,P11,H:H)+SUMIF(I:I,P11,F:F)</f>
        <v>0</v>
      </c>
      <c r="X11" s="43">
        <f>V11-W11</f>
        <v>4</v>
      </c>
      <c r="Y11" s="43">
        <f>SUMPRODUCT(($Q$11:$Q$14=Q11)*($X$11:$X$14&gt;X11))</f>
        <v>0</v>
      </c>
      <c r="Z11" s="43">
        <f>SUMPRODUCT(($Q$11:$Q$14=Q11)*($X$11:$X$14=X11)*($V$11:$V$14&gt;V11))</f>
        <v>0</v>
      </c>
      <c r="AA11" s="43">
        <f>SUMPRODUCT(($Q$11:$Q$14=Q11)*($X$11:$X$14=X11)*($V$11:$V$14=V11)*($W$11:$W$14&gt;W11))</f>
        <v>0</v>
      </c>
      <c r="AB11" s="43">
        <f>SUMPRODUCT(($Q$11:$Q$14=Q11)*($X$11:$X$14=X11)*($V$11:$V$14=V11)*($W$11:$W$14=W11)*($AC$11:$AC$14&lt;AC11))</f>
        <v>0</v>
      </c>
      <c r="AC11" s="44">
        <v>1</v>
      </c>
      <c r="AD11" s="50"/>
      <c r="AE11" s="132">
        <v>1</v>
      </c>
      <c r="AF11" s="83" t="str">
        <f>VLOOKUP($AE11,$O$11:$X$14,2,FALSE)</f>
        <v>Paris Saint-Germain</v>
      </c>
      <c r="AG11" s="90">
        <f>VLOOKUP($AE11,$O$11:$X$14,3,FALSE)</f>
        <v>3</v>
      </c>
      <c r="AH11" s="90">
        <f>VLOOKUP($AE11,$O$11:$X$14,4,FALSE)</f>
        <v>1</v>
      </c>
      <c r="AI11" s="90">
        <f>VLOOKUP($AE11,$O$11:$X$14,5,FALSE)</f>
        <v>1</v>
      </c>
      <c r="AJ11" s="90">
        <f>VLOOKUP($AE11,$O$11:$X$14,6,FALSE)</f>
        <v>0</v>
      </c>
      <c r="AK11" s="90">
        <f>VLOOKUP($AE11,$O$11:$X$14,7,FALSE)</f>
        <v>0</v>
      </c>
      <c r="AL11" s="90">
        <f>VLOOKUP($AE11,$O$11:$X$14,8,FALSE)</f>
        <v>4</v>
      </c>
      <c r="AM11" s="90">
        <f>VLOOKUP($AE11,$O$11:$X$14,9,FALSE)</f>
        <v>0</v>
      </c>
      <c r="AN11" s="91">
        <f>VLOOKUP($AE11,$O$11:$X$14,10,FALSE)</f>
        <v>4</v>
      </c>
    </row>
    <row r="12" spans="1:40" x14ac:dyDescent="0.25">
      <c r="A12" s="50"/>
      <c r="B12" s="132" t="s">
        <v>43</v>
      </c>
      <c r="C12" s="10">
        <v>45827</v>
      </c>
      <c r="D12" s="41" t="s">
        <v>41</v>
      </c>
      <c r="E12" s="83" t="str">
        <f>P14</f>
        <v>Seattle Sounders</v>
      </c>
      <c r="F12" s="21"/>
      <c r="G12" s="90" t="s">
        <v>17</v>
      </c>
      <c r="H12" s="21"/>
      <c r="I12" s="26" t="str">
        <f>P12</f>
        <v>Atlético de Madrid</v>
      </c>
      <c r="J12" s="42" t="str">
        <f t="shared" si="0"/>
        <v>empate</v>
      </c>
      <c r="K12" s="43" t="str">
        <f t="shared" si="1"/>
        <v/>
      </c>
      <c r="L12" s="43" t="str">
        <f t="shared" si="2"/>
        <v/>
      </c>
      <c r="M12" s="44" t="str">
        <f t="shared" si="3"/>
        <v>empate</v>
      </c>
      <c r="N12" s="51"/>
      <c r="O12" s="52">
        <f t="shared" ref="O12:O14" si="21">RANK(Q12,$Q$11:$Q$14)+SUM(Y12:AB12)</f>
        <v>4</v>
      </c>
      <c r="P12" s="53" t="str">
        <f>Sorteios!F7</f>
        <v>Atlético de Madrid</v>
      </c>
      <c r="Q12" s="43">
        <f t="shared" ref="Q12:Q14" si="22">(S12*3)+(T12*1)</f>
        <v>0</v>
      </c>
      <c r="R12" s="43">
        <f t="shared" ref="R12:R14" si="23">SUM(S12:U12)</f>
        <v>1</v>
      </c>
      <c r="S12" s="43">
        <f>COUNTIF(J:J,P12)</f>
        <v>0</v>
      </c>
      <c r="T12" s="43">
        <f>COUNTIF(K:K,P12)+COUNTIF(L:L,P12)</f>
        <v>0</v>
      </c>
      <c r="U12" s="43">
        <f>COUNTIF(M:M,P12)</f>
        <v>1</v>
      </c>
      <c r="V12" s="43">
        <f>SUMIF(E:E,P12,F:F)+SUMIF(I:I,P12,H:H)</f>
        <v>0</v>
      </c>
      <c r="W12" s="43">
        <f>SUMIF(E:E,P12,H:H)+SUMIF(I:I,P12,F:F)</f>
        <v>4</v>
      </c>
      <c r="X12" s="43">
        <f t="shared" ref="X12:X14" si="24">V12-W12</f>
        <v>-4</v>
      </c>
      <c r="Y12" s="43">
        <f t="shared" ref="Y12:Y14" si="25">SUMPRODUCT(($Q$11:$Q$14=Q12)*($X$11:$X$14&gt;X12))</f>
        <v>1</v>
      </c>
      <c r="Z12" s="43">
        <f t="shared" ref="Z12:Z14" si="26">SUMPRODUCT(($Q$11:$Q$14=Q12)*($X$11:$X$14=X12)*($V$11:$V$14&gt;V12))</f>
        <v>0</v>
      </c>
      <c r="AA12" s="43">
        <f t="shared" ref="AA12:AA14" si="27">SUMPRODUCT(($Q$11:$Q$14=Q12)*($X$11:$X$14=X12)*($V$11:$V$14=V12)*($W$11:$W$14&gt;W12))</f>
        <v>0</v>
      </c>
      <c r="AB12" s="43">
        <f t="shared" ref="AB12:AB14" si="28">SUMPRODUCT(($Q$11:$Q$14=Q12)*($X$11:$X$14=X12)*($V$11:$V$14=V12)*($W$11:$W$14=W12)*($AC$11:$AC$14&lt;AC12))</f>
        <v>0</v>
      </c>
      <c r="AC12" s="44">
        <v>2</v>
      </c>
      <c r="AD12" s="50"/>
      <c r="AE12" s="132">
        <v>2</v>
      </c>
      <c r="AF12" s="83" t="str">
        <f t="shared" ref="AF12:AF14" si="29">VLOOKUP($AE12,$O$11:$X$14,2,FALSE)</f>
        <v>Botafogo</v>
      </c>
      <c r="AG12" s="90">
        <f t="shared" ref="AG12:AG14" si="30">VLOOKUP($AE12,$O$11:$X$14,3,FALSE)</f>
        <v>3</v>
      </c>
      <c r="AH12" s="90">
        <f t="shared" ref="AH12:AH14" si="31">VLOOKUP($AE12,$O$11:$X$14,4,FALSE)</f>
        <v>1</v>
      </c>
      <c r="AI12" s="90">
        <f t="shared" ref="AI12:AI14" si="32">VLOOKUP($AE12,$O$11:$X$14,5,FALSE)</f>
        <v>1</v>
      </c>
      <c r="AJ12" s="90">
        <f t="shared" ref="AJ12:AJ14" si="33">VLOOKUP($AE12,$O$11:$X$14,6,FALSE)</f>
        <v>0</v>
      </c>
      <c r="AK12" s="90">
        <f t="shared" ref="AK12:AK14" si="34">VLOOKUP($AE12,$O$11:$X$14,7,FALSE)</f>
        <v>0</v>
      </c>
      <c r="AL12" s="90">
        <f t="shared" ref="AL12:AL14" si="35">VLOOKUP($AE12,$O$11:$X$14,8,FALSE)</f>
        <v>2</v>
      </c>
      <c r="AM12" s="90">
        <f t="shared" ref="AM12:AM14" si="36">VLOOKUP($AE12,$O$11:$X$14,9,FALSE)</f>
        <v>1</v>
      </c>
      <c r="AN12" s="91">
        <f t="shared" ref="AN12:AN14" si="37">VLOOKUP($AE12,$O$11:$X$14,10,FALSE)</f>
        <v>1</v>
      </c>
    </row>
    <row r="13" spans="1:40" x14ac:dyDescent="0.25">
      <c r="A13" s="50"/>
      <c r="B13" s="132" t="s">
        <v>43</v>
      </c>
      <c r="C13" s="10">
        <v>45831</v>
      </c>
      <c r="D13" s="41" t="s">
        <v>41</v>
      </c>
      <c r="E13" s="83" t="str">
        <f>P14</f>
        <v>Seattle Sounders</v>
      </c>
      <c r="F13" s="21"/>
      <c r="G13" s="90" t="s">
        <v>17</v>
      </c>
      <c r="H13" s="21"/>
      <c r="I13" s="26" t="str">
        <f>P11</f>
        <v>Paris Saint-Germain</v>
      </c>
      <c r="J13" s="42" t="str">
        <f t="shared" si="0"/>
        <v>empate</v>
      </c>
      <c r="K13" s="43" t="str">
        <f t="shared" si="1"/>
        <v/>
      </c>
      <c r="L13" s="43" t="str">
        <f t="shared" si="2"/>
        <v/>
      </c>
      <c r="M13" s="44" t="str">
        <f t="shared" si="3"/>
        <v>empate</v>
      </c>
      <c r="N13" s="51"/>
      <c r="O13" s="52">
        <f t="shared" si="21"/>
        <v>2</v>
      </c>
      <c r="P13" s="53" t="str">
        <f>Sorteios!F8</f>
        <v>Botafogo</v>
      </c>
      <c r="Q13" s="43">
        <f t="shared" si="22"/>
        <v>3</v>
      </c>
      <c r="R13" s="43">
        <f t="shared" si="23"/>
        <v>1</v>
      </c>
      <c r="S13" s="43">
        <f>COUNTIF(J:J,P13)</f>
        <v>1</v>
      </c>
      <c r="T13" s="43">
        <f>COUNTIF(K:K,P13)+COUNTIF(L:L,P13)</f>
        <v>0</v>
      </c>
      <c r="U13" s="43">
        <f>COUNTIF(M:M,P13)</f>
        <v>0</v>
      </c>
      <c r="V13" s="43">
        <f>SUMIF(E:E,P13,F:F)+SUMIF(I:I,P13,H:H)</f>
        <v>2</v>
      </c>
      <c r="W13" s="43">
        <f>SUMIF(E:E,P13,H:H)+SUMIF(I:I,P13,F:F)</f>
        <v>1</v>
      </c>
      <c r="X13" s="43">
        <f t="shared" si="24"/>
        <v>1</v>
      </c>
      <c r="Y13" s="43">
        <f t="shared" si="25"/>
        <v>1</v>
      </c>
      <c r="Z13" s="43">
        <f t="shared" si="26"/>
        <v>0</v>
      </c>
      <c r="AA13" s="43">
        <f t="shared" si="27"/>
        <v>0</v>
      </c>
      <c r="AB13" s="43">
        <f t="shared" si="28"/>
        <v>0</v>
      </c>
      <c r="AC13" s="44">
        <v>3</v>
      </c>
      <c r="AD13" s="50"/>
      <c r="AE13" s="132">
        <v>3</v>
      </c>
      <c r="AF13" s="83" t="str">
        <f t="shared" si="29"/>
        <v>Seattle Sounders</v>
      </c>
      <c r="AG13" s="90">
        <f t="shared" si="30"/>
        <v>0</v>
      </c>
      <c r="AH13" s="90">
        <f t="shared" si="31"/>
        <v>1</v>
      </c>
      <c r="AI13" s="90">
        <f t="shared" si="32"/>
        <v>0</v>
      </c>
      <c r="AJ13" s="90">
        <f t="shared" si="33"/>
        <v>0</v>
      </c>
      <c r="AK13" s="90">
        <f t="shared" si="34"/>
        <v>1</v>
      </c>
      <c r="AL13" s="90">
        <f t="shared" si="35"/>
        <v>1</v>
      </c>
      <c r="AM13" s="90">
        <f t="shared" si="36"/>
        <v>2</v>
      </c>
      <c r="AN13" s="91">
        <f t="shared" si="37"/>
        <v>-1</v>
      </c>
    </row>
    <row r="14" spans="1:40" ht="15.75" thickBot="1" x14ac:dyDescent="0.3">
      <c r="A14" s="50"/>
      <c r="B14" s="133" t="s">
        <v>43</v>
      </c>
      <c r="C14" s="14">
        <v>45831</v>
      </c>
      <c r="D14" s="55" t="s">
        <v>41</v>
      </c>
      <c r="E14" s="84" t="str">
        <f>P12</f>
        <v>Atlético de Madrid</v>
      </c>
      <c r="F14" s="22"/>
      <c r="G14" s="92" t="s">
        <v>17</v>
      </c>
      <c r="H14" s="22"/>
      <c r="I14" s="27" t="str">
        <f>P13</f>
        <v>Botafogo</v>
      </c>
      <c r="J14" s="56" t="str">
        <f t="shared" si="0"/>
        <v>empate</v>
      </c>
      <c r="K14" s="57" t="str">
        <f t="shared" si="1"/>
        <v/>
      </c>
      <c r="L14" s="57" t="str">
        <f t="shared" si="2"/>
        <v/>
      </c>
      <c r="M14" s="58" t="str">
        <f t="shared" si="3"/>
        <v>empate</v>
      </c>
      <c r="N14" s="59"/>
      <c r="O14" s="60">
        <f t="shared" si="21"/>
        <v>3</v>
      </c>
      <c r="P14" s="53" t="str">
        <f>Sorteios!F9</f>
        <v>Seattle Sounders</v>
      </c>
      <c r="Q14" s="57">
        <f t="shared" si="22"/>
        <v>0</v>
      </c>
      <c r="R14" s="57">
        <f t="shared" si="23"/>
        <v>1</v>
      </c>
      <c r="S14" s="43">
        <f>COUNTIF(J:J,P14)</f>
        <v>0</v>
      </c>
      <c r="T14" s="43">
        <f>COUNTIF(K:K,P14)+COUNTIF(L:L,P14)</f>
        <v>0</v>
      </c>
      <c r="U14" s="43">
        <f>COUNTIF(M:M,P14)</f>
        <v>1</v>
      </c>
      <c r="V14" s="57">
        <f>SUMIF(E:E,P14,F:F)+SUMIF(I:I,P14,H:H)</f>
        <v>1</v>
      </c>
      <c r="W14" s="57">
        <f>SUMIF(E:E,P14,H:H)+SUMIF(I:I,P14,F:F)</f>
        <v>2</v>
      </c>
      <c r="X14" s="57">
        <f t="shared" si="24"/>
        <v>-1</v>
      </c>
      <c r="Y14" s="57">
        <f t="shared" si="25"/>
        <v>0</v>
      </c>
      <c r="Z14" s="57">
        <f t="shared" si="26"/>
        <v>0</v>
      </c>
      <c r="AA14" s="57">
        <f t="shared" si="27"/>
        <v>0</v>
      </c>
      <c r="AB14" s="57">
        <f t="shared" si="28"/>
        <v>0</v>
      </c>
      <c r="AC14" s="58">
        <v>4</v>
      </c>
      <c r="AD14" s="61"/>
      <c r="AE14" s="132">
        <v>4</v>
      </c>
      <c r="AF14" s="84" t="str">
        <f t="shared" si="29"/>
        <v>Atlético de Madrid</v>
      </c>
      <c r="AG14" s="92">
        <f t="shared" si="30"/>
        <v>0</v>
      </c>
      <c r="AH14" s="92">
        <f t="shared" si="31"/>
        <v>1</v>
      </c>
      <c r="AI14" s="92">
        <f t="shared" si="32"/>
        <v>0</v>
      </c>
      <c r="AJ14" s="92">
        <f t="shared" si="33"/>
        <v>0</v>
      </c>
      <c r="AK14" s="92">
        <f t="shared" si="34"/>
        <v>1</v>
      </c>
      <c r="AL14" s="92">
        <f t="shared" si="35"/>
        <v>0</v>
      </c>
      <c r="AM14" s="92">
        <f t="shared" si="36"/>
        <v>4</v>
      </c>
      <c r="AN14" s="93">
        <f t="shared" si="37"/>
        <v>-4</v>
      </c>
    </row>
    <row r="15" spans="1:40" x14ac:dyDescent="0.25">
      <c r="A15" s="50"/>
      <c r="B15" s="132" t="s">
        <v>45</v>
      </c>
      <c r="C15" s="80">
        <v>45823</v>
      </c>
      <c r="D15" s="40" t="s">
        <v>46</v>
      </c>
      <c r="E15" s="11" t="str">
        <f>P17</f>
        <v>Bayern de Munique</v>
      </c>
      <c r="F15" s="21">
        <v>10</v>
      </c>
      <c r="G15" s="12" t="s">
        <v>17</v>
      </c>
      <c r="H15" s="21">
        <v>0</v>
      </c>
      <c r="I15" s="13" t="str">
        <f>P18</f>
        <v>Auckland City</v>
      </c>
      <c r="J15" s="63" t="str">
        <f t="shared" si="0"/>
        <v>Bayern de Munique</v>
      </c>
      <c r="K15" s="64" t="str">
        <f t="shared" si="1"/>
        <v/>
      </c>
      <c r="L15" s="64" t="str">
        <f t="shared" si="2"/>
        <v/>
      </c>
      <c r="M15" s="65" t="str">
        <f t="shared" si="3"/>
        <v>Auckland City</v>
      </c>
      <c r="N15" s="66"/>
      <c r="O15" s="67"/>
      <c r="P15" s="47" t="s">
        <v>47</v>
      </c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9"/>
      <c r="AE15" s="87" t="s">
        <v>47</v>
      </c>
      <c r="AF15" s="88"/>
      <c r="AG15" s="88"/>
      <c r="AH15" s="88"/>
      <c r="AI15" s="88"/>
      <c r="AJ15" s="88"/>
      <c r="AK15" s="88"/>
      <c r="AL15" s="88"/>
      <c r="AM15" s="88"/>
      <c r="AN15" s="89"/>
    </row>
    <row r="16" spans="1:40" x14ac:dyDescent="0.25">
      <c r="A16" s="50"/>
      <c r="B16" s="132" t="s">
        <v>45</v>
      </c>
      <c r="C16" s="80">
        <v>45824</v>
      </c>
      <c r="D16" s="40" t="s">
        <v>48</v>
      </c>
      <c r="E16" s="11" t="str">
        <f>P19</f>
        <v>Boca Juniors</v>
      </c>
      <c r="F16" s="21">
        <v>2</v>
      </c>
      <c r="G16" s="12" t="s">
        <v>17</v>
      </c>
      <c r="H16" s="21">
        <v>2</v>
      </c>
      <c r="I16" s="13" t="str">
        <f>P20</f>
        <v>Benfica</v>
      </c>
      <c r="J16" s="42" t="str">
        <f t="shared" si="0"/>
        <v>empate</v>
      </c>
      <c r="K16" s="43" t="str">
        <f t="shared" si="1"/>
        <v>Boca Juniors</v>
      </c>
      <c r="L16" s="43" t="str">
        <f t="shared" si="2"/>
        <v>Benfica</v>
      </c>
      <c r="M16" s="44" t="str">
        <f t="shared" si="3"/>
        <v>empate</v>
      </c>
      <c r="N16" s="51"/>
      <c r="O16" s="52" t="s">
        <v>20</v>
      </c>
      <c r="P16" s="4" t="s">
        <v>21</v>
      </c>
      <c r="Q16" s="43" t="s">
        <v>22</v>
      </c>
      <c r="R16" s="43" t="s">
        <v>23</v>
      </c>
      <c r="S16" s="43" t="s">
        <v>24</v>
      </c>
      <c r="T16" s="43" t="s">
        <v>25</v>
      </c>
      <c r="U16" s="43" t="s">
        <v>26</v>
      </c>
      <c r="V16" s="43" t="s">
        <v>27</v>
      </c>
      <c r="W16" s="43" t="s">
        <v>28</v>
      </c>
      <c r="X16" s="43" t="s">
        <v>29</v>
      </c>
      <c r="Y16" s="43" t="s">
        <v>30</v>
      </c>
      <c r="Z16" s="43" t="s">
        <v>31</v>
      </c>
      <c r="AA16" s="43" t="s">
        <v>32</v>
      </c>
      <c r="AB16" s="43" t="s">
        <v>33</v>
      </c>
      <c r="AC16" s="44" t="s">
        <v>34</v>
      </c>
      <c r="AD16" s="50"/>
      <c r="AE16" s="132" t="s">
        <v>35</v>
      </c>
      <c r="AF16" s="12" t="s">
        <v>68</v>
      </c>
      <c r="AG16" s="12" t="s">
        <v>36</v>
      </c>
      <c r="AH16" s="12" t="s">
        <v>37</v>
      </c>
      <c r="AI16" s="12" t="s">
        <v>38</v>
      </c>
      <c r="AJ16" s="12" t="s">
        <v>39</v>
      </c>
      <c r="AK16" s="12" t="s">
        <v>40</v>
      </c>
      <c r="AL16" s="12" t="s">
        <v>27</v>
      </c>
      <c r="AM16" s="12" t="s">
        <v>28</v>
      </c>
      <c r="AN16" s="1" t="s">
        <v>29</v>
      </c>
    </row>
    <row r="17" spans="1:40" x14ac:dyDescent="0.25">
      <c r="A17" s="50"/>
      <c r="B17" s="132" t="s">
        <v>45</v>
      </c>
      <c r="C17" s="80">
        <v>45828</v>
      </c>
      <c r="D17" s="40" t="s">
        <v>16</v>
      </c>
      <c r="E17" s="11" t="str">
        <f>P17</f>
        <v>Bayern de Munique</v>
      </c>
      <c r="F17" s="21"/>
      <c r="G17" s="12" t="s">
        <v>17</v>
      </c>
      <c r="H17" s="21"/>
      <c r="I17" s="13" t="str">
        <f>P19</f>
        <v>Boca Juniors</v>
      </c>
      <c r="J17" s="42" t="str">
        <f t="shared" si="0"/>
        <v>empate</v>
      </c>
      <c r="K17" s="43" t="str">
        <f t="shared" si="1"/>
        <v/>
      </c>
      <c r="L17" s="43" t="str">
        <f t="shared" si="2"/>
        <v/>
      </c>
      <c r="M17" s="44" t="str">
        <f t="shared" si="3"/>
        <v>empate</v>
      </c>
      <c r="N17" s="51"/>
      <c r="O17" s="52">
        <f>RANK(Q17,$Q$17:$Q$20)+SUM(Y17:AB17)</f>
        <v>1</v>
      </c>
      <c r="P17" s="53" t="str">
        <f>Sorteios!I6</f>
        <v>Bayern de Munique</v>
      </c>
      <c r="Q17" s="43">
        <f>(S17*3)+(T17*1)</f>
        <v>3</v>
      </c>
      <c r="R17" s="43">
        <f>SUM(S17:U17)</f>
        <v>1</v>
      </c>
      <c r="S17" s="43">
        <f>COUNTIF(J:J,P17)</f>
        <v>1</v>
      </c>
      <c r="T17" s="43">
        <f>COUNTIF(K:K,P17)+COUNTIF(L:L,P17)</f>
        <v>0</v>
      </c>
      <c r="U17" s="43">
        <f>COUNTIF(M:M,P17)</f>
        <v>0</v>
      </c>
      <c r="V17" s="43">
        <f>SUMIF(E:E,P17,F:F)+SUMIF(I:I,P17,H:H)</f>
        <v>10</v>
      </c>
      <c r="W17" s="43">
        <f>SUMIF(E:E,P17,H:H)+SUMIF(I:I,P17,F:F)</f>
        <v>0</v>
      </c>
      <c r="X17" s="43">
        <f>V17-W17</f>
        <v>10</v>
      </c>
      <c r="Y17" s="43">
        <f>SUMPRODUCT(($Q$17:$Q$20=Q17)*($X$17:$X$20&gt;X17))</f>
        <v>0</v>
      </c>
      <c r="Z17" s="43">
        <f>SUMPRODUCT(($Q$17:$Q$20=Q17)*($X$17:$X$20=X17)*($V$17:$V$20&gt;V17))</f>
        <v>0</v>
      </c>
      <c r="AA17" s="43">
        <f>SUMPRODUCT(($Q$17:$Q$20=Q17)*($X$17:$X$20=X17)*($V$17:$V$20=V17)*($W$17:$W$20&gt;W17))</f>
        <v>0</v>
      </c>
      <c r="AB17" s="43">
        <f>SUMPRODUCT(($Q$17:$Q$20=Q17)*($X$17:$X$20=X17)*($V$17:$V$20=V17)*($W$17:$W$20=W17)*($AC$17:$AC$20&lt;AC17))</f>
        <v>0</v>
      </c>
      <c r="AC17" s="44">
        <v>1</v>
      </c>
      <c r="AD17" s="50"/>
      <c r="AE17" s="132">
        <v>1</v>
      </c>
      <c r="AF17" s="83" t="str">
        <f>VLOOKUP($AE17,$O$17:$X$20,2,FALSE)</f>
        <v>Bayern de Munique</v>
      </c>
      <c r="AG17" s="90">
        <f>VLOOKUP($AE17,$O$17:$X$20,3,FALSE)</f>
        <v>3</v>
      </c>
      <c r="AH17" s="90">
        <f>VLOOKUP($AE17,$O$17:$X$20,4,FALSE)</f>
        <v>1</v>
      </c>
      <c r="AI17" s="90">
        <f>VLOOKUP($AE17,$O$17:$X$20,5,FALSE)</f>
        <v>1</v>
      </c>
      <c r="AJ17" s="90">
        <f>VLOOKUP($AE17,$O$17:$X$20,6,FALSE)</f>
        <v>0</v>
      </c>
      <c r="AK17" s="90">
        <f>VLOOKUP($AE17,$O$17:$X$20,7,FALSE)</f>
        <v>0</v>
      </c>
      <c r="AL17" s="90">
        <f>VLOOKUP($AE17,$O$17:$X$20,8,FALSE)</f>
        <v>10</v>
      </c>
      <c r="AM17" s="90">
        <f>VLOOKUP($AE17,$O$17:$X$20,9,FALSE)</f>
        <v>0</v>
      </c>
      <c r="AN17" s="91">
        <f>VLOOKUP($AE17,$O$17:$X$20,10,FALSE)</f>
        <v>10</v>
      </c>
    </row>
    <row r="18" spans="1:40" x14ac:dyDescent="0.25">
      <c r="A18" s="50"/>
      <c r="B18" s="132" t="s">
        <v>45</v>
      </c>
      <c r="C18" s="80">
        <v>45828</v>
      </c>
      <c r="D18" s="40" t="s">
        <v>19</v>
      </c>
      <c r="E18" s="11" t="str">
        <f>P20</f>
        <v>Benfica</v>
      </c>
      <c r="F18" s="21"/>
      <c r="G18" s="12" t="s">
        <v>17</v>
      </c>
      <c r="H18" s="21"/>
      <c r="I18" s="13" t="str">
        <f>P18</f>
        <v>Auckland City</v>
      </c>
      <c r="J18" s="42" t="str">
        <f t="shared" si="0"/>
        <v>empate</v>
      </c>
      <c r="K18" s="43" t="str">
        <f t="shared" si="1"/>
        <v/>
      </c>
      <c r="L18" s="43" t="str">
        <f t="shared" si="2"/>
        <v/>
      </c>
      <c r="M18" s="44" t="str">
        <f t="shared" si="3"/>
        <v>empate</v>
      </c>
      <c r="N18" s="51"/>
      <c r="O18" s="52">
        <f t="shared" ref="O18:O20" si="38">RANK(Q18,$Q$17:$Q$20)+SUM(Y18:AB18)</f>
        <v>4</v>
      </c>
      <c r="P18" s="53" t="str">
        <f>Sorteios!I7</f>
        <v>Auckland City</v>
      </c>
      <c r="Q18" s="43">
        <f t="shared" ref="Q18:Q20" si="39">(S18*3)+(T18*1)</f>
        <v>0</v>
      </c>
      <c r="R18" s="43">
        <f t="shared" ref="R18:R20" si="40">SUM(S18:U18)</f>
        <v>1</v>
      </c>
      <c r="S18" s="43">
        <f>COUNTIF(J:J,P18)</f>
        <v>0</v>
      </c>
      <c r="T18" s="43">
        <f>COUNTIF(K:K,P18)+COUNTIF(L:L,P18)</f>
        <v>0</v>
      </c>
      <c r="U18" s="43">
        <f>COUNTIF(M:M,P18)</f>
        <v>1</v>
      </c>
      <c r="V18" s="43">
        <f>SUMIF(E:E,P18,F:F)+SUMIF(I:I,P18,H:H)</f>
        <v>0</v>
      </c>
      <c r="W18" s="43">
        <f>SUMIF(E:E,P18,H:H)+SUMIF(I:I,P18,F:F)</f>
        <v>10</v>
      </c>
      <c r="X18" s="43">
        <f t="shared" ref="X18:X20" si="41">V18-W18</f>
        <v>-10</v>
      </c>
      <c r="Y18" s="43">
        <f t="shared" ref="Y18:Y20" si="42">SUMPRODUCT(($Q$17:$Q$20=Q18)*($X$17:$X$20&gt;X18))</f>
        <v>0</v>
      </c>
      <c r="Z18" s="43">
        <f t="shared" ref="Z18:Z20" si="43">SUMPRODUCT(($Q$17:$Q$20=Q18)*($X$17:$X$20=X18)*($V$17:$V$20&gt;V18))</f>
        <v>0</v>
      </c>
      <c r="AA18" s="43">
        <f t="shared" ref="AA18:AA20" si="44">SUMPRODUCT(($Q$17:$Q$20=Q18)*($X$17:$X$20=X18)*($V$17:$V$20=V18)*($W$17:$W$20&gt;W18))</f>
        <v>0</v>
      </c>
      <c r="AB18" s="43">
        <f t="shared" ref="AB18:AB20" si="45">SUMPRODUCT(($Q$17:$Q$20=Q18)*($X$17:$X$20=X18)*($V$17:$V$20=V18)*($W$17:$W$20=W18)*($AC$17:$AC$20&lt;AC18))</f>
        <v>0</v>
      </c>
      <c r="AC18" s="44">
        <v>2</v>
      </c>
      <c r="AD18" s="50"/>
      <c r="AE18" s="132">
        <v>2</v>
      </c>
      <c r="AF18" s="83" t="str">
        <f t="shared" ref="AF18:AF20" si="46">VLOOKUP($AE18,$O$17:$X$20,2,FALSE)</f>
        <v>Boca Juniors</v>
      </c>
      <c r="AG18" s="90">
        <f t="shared" ref="AG18:AG20" si="47">VLOOKUP($AE18,$O$17:$X$20,3,FALSE)</f>
        <v>1</v>
      </c>
      <c r="AH18" s="90">
        <f t="shared" ref="AH18:AH20" si="48">VLOOKUP($AE18,$O$17:$X$20,4,FALSE)</f>
        <v>1</v>
      </c>
      <c r="AI18" s="90">
        <f t="shared" ref="AI18:AI20" si="49">VLOOKUP($AE18,$O$17:$X$20,5,FALSE)</f>
        <v>0</v>
      </c>
      <c r="AJ18" s="90">
        <f t="shared" ref="AJ18:AJ20" si="50">VLOOKUP($AE18,$O$17:$X$20,6,FALSE)</f>
        <v>1</v>
      </c>
      <c r="AK18" s="90">
        <f t="shared" ref="AK18:AK20" si="51">VLOOKUP($AE18,$O$17:$X$20,7,FALSE)</f>
        <v>0</v>
      </c>
      <c r="AL18" s="90">
        <f t="shared" ref="AL18:AL20" si="52">VLOOKUP($AE18,$O$17:$X$20,8,FALSE)</f>
        <v>2</v>
      </c>
      <c r="AM18" s="90">
        <f t="shared" ref="AM18:AM20" si="53">VLOOKUP($AE18,$O$17:$X$20,9,FALSE)</f>
        <v>2</v>
      </c>
      <c r="AN18" s="91">
        <f t="shared" ref="AN18:AN20" si="54">VLOOKUP($AE18,$O$17:$X$20,10,FALSE)</f>
        <v>0</v>
      </c>
    </row>
    <row r="19" spans="1:40" x14ac:dyDescent="0.25">
      <c r="A19" s="50"/>
      <c r="B19" s="132" t="s">
        <v>45</v>
      </c>
      <c r="C19" s="80">
        <v>45832</v>
      </c>
      <c r="D19" s="40" t="s">
        <v>42</v>
      </c>
      <c r="E19" s="11" t="str">
        <f>P20</f>
        <v>Benfica</v>
      </c>
      <c r="F19" s="21"/>
      <c r="G19" s="12" t="s">
        <v>17</v>
      </c>
      <c r="H19" s="21"/>
      <c r="I19" s="13" t="str">
        <f>P17</f>
        <v>Bayern de Munique</v>
      </c>
      <c r="J19" s="42" t="str">
        <f t="shared" si="0"/>
        <v>empate</v>
      </c>
      <c r="K19" s="43" t="str">
        <f t="shared" si="1"/>
        <v/>
      </c>
      <c r="L19" s="43" t="str">
        <f t="shared" si="2"/>
        <v/>
      </c>
      <c r="M19" s="44" t="str">
        <f t="shared" si="3"/>
        <v>empate</v>
      </c>
      <c r="N19" s="51"/>
      <c r="O19" s="52">
        <f t="shared" si="38"/>
        <v>2</v>
      </c>
      <c r="P19" s="53" t="str">
        <f>Sorteios!I8</f>
        <v>Boca Juniors</v>
      </c>
      <c r="Q19" s="43">
        <f t="shared" si="39"/>
        <v>1</v>
      </c>
      <c r="R19" s="43">
        <f t="shared" si="40"/>
        <v>1</v>
      </c>
      <c r="S19" s="43">
        <f>COUNTIF(J:J,P19)</f>
        <v>0</v>
      </c>
      <c r="T19" s="43">
        <f>COUNTIF(K:K,P19)+COUNTIF(L:L,P19)</f>
        <v>1</v>
      </c>
      <c r="U19" s="43">
        <f>COUNTIF(M:M,P19)</f>
        <v>0</v>
      </c>
      <c r="V19" s="43">
        <f>SUMIF(E:E,P19,F:F)+SUMIF(I:I,P19,H:H)</f>
        <v>2</v>
      </c>
      <c r="W19" s="43">
        <f>SUMIF(E:E,P19,H:H)+SUMIF(I:I,P19,F:F)</f>
        <v>2</v>
      </c>
      <c r="X19" s="43">
        <f t="shared" si="41"/>
        <v>0</v>
      </c>
      <c r="Y19" s="43">
        <f t="shared" si="42"/>
        <v>0</v>
      </c>
      <c r="Z19" s="43">
        <f t="shared" si="43"/>
        <v>0</v>
      </c>
      <c r="AA19" s="43">
        <f t="shared" si="44"/>
        <v>0</v>
      </c>
      <c r="AB19" s="43">
        <f t="shared" si="45"/>
        <v>0</v>
      </c>
      <c r="AC19" s="44">
        <v>3</v>
      </c>
      <c r="AD19" s="50"/>
      <c r="AE19" s="132">
        <v>3</v>
      </c>
      <c r="AF19" s="83" t="str">
        <f t="shared" si="46"/>
        <v>Benfica</v>
      </c>
      <c r="AG19" s="90">
        <f t="shared" si="47"/>
        <v>1</v>
      </c>
      <c r="AH19" s="90">
        <f t="shared" si="48"/>
        <v>1</v>
      </c>
      <c r="AI19" s="90">
        <f t="shared" si="49"/>
        <v>0</v>
      </c>
      <c r="AJ19" s="90">
        <f t="shared" si="50"/>
        <v>1</v>
      </c>
      <c r="AK19" s="90">
        <f t="shared" si="51"/>
        <v>0</v>
      </c>
      <c r="AL19" s="90">
        <f t="shared" si="52"/>
        <v>2</v>
      </c>
      <c r="AM19" s="90">
        <f t="shared" si="53"/>
        <v>2</v>
      </c>
      <c r="AN19" s="91">
        <f t="shared" si="54"/>
        <v>0</v>
      </c>
    </row>
    <row r="20" spans="1:40" ht="15.75" thickBot="1" x14ac:dyDescent="0.3">
      <c r="A20" s="50"/>
      <c r="B20" s="133" t="s">
        <v>45</v>
      </c>
      <c r="C20" s="81">
        <v>45832</v>
      </c>
      <c r="D20" s="54" t="s">
        <v>42</v>
      </c>
      <c r="E20" s="15" t="str">
        <f>P18</f>
        <v>Auckland City</v>
      </c>
      <c r="F20" s="22"/>
      <c r="G20" s="16" t="s">
        <v>17</v>
      </c>
      <c r="H20" s="22"/>
      <c r="I20" s="17" t="str">
        <f>P19</f>
        <v>Boca Juniors</v>
      </c>
      <c r="J20" s="56" t="str">
        <f t="shared" si="0"/>
        <v>empate</v>
      </c>
      <c r="K20" s="57" t="str">
        <f t="shared" si="1"/>
        <v/>
      </c>
      <c r="L20" s="57" t="str">
        <f t="shared" si="2"/>
        <v/>
      </c>
      <c r="M20" s="58" t="str">
        <f t="shared" si="3"/>
        <v>empate</v>
      </c>
      <c r="N20" s="59"/>
      <c r="O20" s="60">
        <f t="shared" si="38"/>
        <v>3</v>
      </c>
      <c r="P20" s="53" t="str">
        <f>Sorteios!I9</f>
        <v>Benfica</v>
      </c>
      <c r="Q20" s="57">
        <f t="shared" si="39"/>
        <v>1</v>
      </c>
      <c r="R20" s="57">
        <f t="shared" si="40"/>
        <v>1</v>
      </c>
      <c r="S20" s="43">
        <f>COUNTIF(J:J,P20)</f>
        <v>0</v>
      </c>
      <c r="T20" s="43">
        <f>COUNTIF(K:K,P20)+COUNTIF(L:L,P20)</f>
        <v>1</v>
      </c>
      <c r="U20" s="43">
        <f>COUNTIF(M:M,P20)</f>
        <v>0</v>
      </c>
      <c r="V20" s="57">
        <f>SUMIF(E:E,P20,F:F)+SUMIF(I:I,P20,H:H)</f>
        <v>2</v>
      </c>
      <c r="W20" s="57">
        <f>SUMIF(E:E,P20,H:H)+SUMIF(I:I,P20,F:F)</f>
        <v>2</v>
      </c>
      <c r="X20" s="57">
        <f t="shared" si="41"/>
        <v>0</v>
      </c>
      <c r="Y20" s="57">
        <f t="shared" si="42"/>
        <v>0</v>
      </c>
      <c r="Z20" s="57">
        <f t="shared" si="43"/>
        <v>0</v>
      </c>
      <c r="AA20" s="57">
        <f t="shared" si="44"/>
        <v>0</v>
      </c>
      <c r="AB20" s="57">
        <f t="shared" si="45"/>
        <v>1</v>
      </c>
      <c r="AC20" s="58">
        <v>4</v>
      </c>
      <c r="AD20" s="61"/>
      <c r="AE20" s="132">
        <v>4</v>
      </c>
      <c r="AF20" s="84" t="str">
        <f t="shared" si="46"/>
        <v>Auckland City</v>
      </c>
      <c r="AG20" s="92">
        <f t="shared" si="47"/>
        <v>0</v>
      </c>
      <c r="AH20" s="92">
        <f t="shared" si="48"/>
        <v>1</v>
      </c>
      <c r="AI20" s="92">
        <f t="shared" si="49"/>
        <v>0</v>
      </c>
      <c r="AJ20" s="92">
        <f t="shared" si="50"/>
        <v>0</v>
      </c>
      <c r="AK20" s="92">
        <f t="shared" si="51"/>
        <v>1</v>
      </c>
      <c r="AL20" s="92">
        <f t="shared" si="52"/>
        <v>0</v>
      </c>
      <c r="AM20" s="92">
        <f t="shared" si="53"/>
        <v>10</v>
      </c>
      <c r="AN20" s="93">
        <f t="shared" si="54"/>
        <v>-10</v>
      </c>
    </row>
    <row r="21" spans="1:40" x14ac:dyDescent="0.25">
      <c r="A21" s="50"/>
      <c r="B21" s="134" t="s">
        <v>40</v>
      </c>
      <c r="C21" s="18">
        <v>45824</v>
      </c>
      <c r="D21" s="62" t="s">
        <v>49</v>
      </c>
      <c r="E21" s="82" t="str">
        <f>P23</f>
        <v>Flamengo</v>
      </c>
      <c r="F21" s="21">
        <v>2</v>
      </c>
      <c r="G21" s="99" t="s">
        <v>17</v>
      </c>
      <c r="H21" s="21">
        <v>0</v>
      </c>
      <c r="I21" s="85" t="str">
        <f>P24</f>
        <v>Espérance de Tunis</v>
      </c>
      <c r="J21" s="63" t="str">
        <f t="shared" si="0"/>
        <v>Flamengo</v>
      </c>
      <c r="K21" s="64" t="str">
        <f t="shared" si="1"/>
        <v/>
      </c>
      <c r="L21" s="64" t="str">
        <f t="shared" si="2"/>
        <v/>
      </c>
      <c r="M21" s="65" t="str">
        <f t="shared" si="3"/>
        <v>Espérance de Tunis</v>
      </c>
      <c r="N21" s="69"/>
      <c r="O21" s="67"/>
      <c r="P21" s="47" t="s">
        <v>50</v>
      </c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9"/>
      <c r="AE21" s="87" t="s">
        <v>50</v>
      </c>
      <c r="AF21" s="88"/>
      <c r="AG21" s="88"/>
      <c r="AH21" s="88"/>
      <c r="AI21" s="88"/>
      <c r="AJ21" s="88"/>
      <c r="AK21" s="88"/>
      <c r="AL21" s="88"/>
      <c r="AM21" s="88"/>
      <c r="AN21" s="89"/>
    </row>
    <row r="22" spans="1:40" x14ac:dyDescent="0.25">
      <c r="A22" s="50"/>
      <c r="B22" s="132" t="s">
        <v>40</v>
      </c>
      <c r="C22" s="10">
        <v>45824</v>
      </c>
      <c r="D22" s="41" t="s">
        <v>51</v>
      </c>
      <c r="E22" s="83" t="str">
        <f>P25</f>
        <v>Chelsea</v>
      </c>
      <c r="F22" s="21">
        <v>2</v>
      </c>
      <c r="G22" s="90" t="s">
        <v>17</v>
      </c>
      <c r="H22" s="21">
        <v>0</v>
      </c>
      <c r="I22" s="26" t="str">
        <f>P26</f>
        <v>Los Angeles FC</v>
      </c>
      <c r="J22" s="42" t="str">
        <f t="shared" si="0"/>
        <v>Chelsea</v>
      </c>
      <c r="K22" s="43" t="str">
        <f t="shared" si="1"/>
        <v/>
      </c>
      <c r="L22" s="43" t="str">
        <f t="shared" si="2"/>
        <v/>
      </c>
      <c r="M22" s="44" t="str">
        <f t="shared" si="3"/>
        <v>Los Angeles FC</v>
      </c>
      <c r="N22" s="50"/>
      <c r="O22" s="52" t="s">
        <v>20</v>
      </c>
      <c r="P22" s="4" t="s">
        <v>21</v>
      </c>
      <c r="Q22" s="43" t="s">
        <v>22</v>
      </c>
      <c r="R22" s="43" t="s">
        <v>23</v>
      </c>
      <c r="S22" s="43" t="s">
        <v>24</v>
      </c>
      <c r="T22" s="43" t="s">
        <v>25</v>
      </c>
      <c r="U22" s="43" t="s">
        <v>26</v>
      </c>
      <c r="V22" s="43" t="s">
        <v>27</v>
      </c>
      <c r="W22" s="43" t="s">
        <v>28</v>
      </c>
      <c r="X22" s="43" t="s">
        <v>29</v>
      </c>
      <c r="Y22" s="43" t="s">
        <v>30</v>
      </c>
      <c r="Z22" s="43" t="s">
        <v>31</v>
      </c>
      <c r="AA22" s="43" t="s">
        <v>32</v>
      </c>
      <c r="AB22" s="43" t="s">
        <v>33</v>
      </c>
      <c r="AC22" s="44" t="s">
        <v>34</v>
      </c>
      <c r="AD22" s="50"/>
      <c r="AE22" s="132" t="s">
        <v>35</v>
      </c>
      <c r="AF22" s="12" t="s">
        <v>68</v>
      </c>
      <c r="AG22" s="12" t="s">
        <v>36</v>
      </c>
      <c r="AH22" s="12" t="s">
        <v>37</v>
      </c>
      <c r="AI22" s="12" t="s">
        <v>38</v>
      </c>
      <c r="AJ22" s="12" t="s">
        <v>39</v>
      </c>
      <c r="AK22" s="12" t="s">
        <v>40</v>
      </c>
      <c r="AL22" s="12" t="s">
        <v>27</v>
      </c>
      <c r="AM22" s="12" t="s">
        <v>28</v>
      </c>
      <c r="AN22" s="1" t="s">
        <v>29</v>
      </c>
    </row>
    <row r="23" spans="1:40" x14ac:dyDescent="0.25">
      <c r="A23" s="50"/>
      <c r="B23" s="132" t="s">
        <v>40</v>
      </c>
      <c r="C23" s="10">
        <v>45828</v>
      </c>
      <c r="D23" s="41" t="s">
        <v>41</v>
      </c>
      <c r="E23" s="83" t="str">
        <f>P23</f>
        <v>Flamengo</v>
      </c>
      <c r="F23" s="21"/>
      <c r="G23" s="90" t="s">
        <v>17</v>
      </c>
      <c r="H23" s="21"/>
      <c r="I23" s="26" t="str">
        <f>P25</f>
        <v>Chelsea</v>
      </c>
      <c r="J23" s="42" t="str">
        <f t="shared" si="0"/>
        <v>empate</v>
      </c>
      <c r="K23" s="43" t="str">
        <f t="shared" si="1"/>
        <v/>
      </c>
      <c r="L23" s="43" t="str">
        <f t="shared" si="2"/>
        <v/>
      </c>
      <c r="M23" s="44" t="str">
        <f t="shared" si="3"/>
        <v>empate</v>
      </c>
      <c r="N23" s="50"/>
      <c r="O23" s="52">
        <f>RANK(Q23,$Q$23:$Q$26)+SUM(Y23:AB23)</f>
        <v>1</v>
      </c>
      <c r="P23" s="53" t="str">
        <f>Sorteios!L6</f>
        <v>Flamengo</v>
      </c>
      <c r="Q23" s="43">
        <f>(S23*3)+(T23*1)</f>
        <v>3</v>
      </c>
      <c r="R23" s="43">
        <f>SUM(S23:U23)</f>
        <v>1</v>
      </c>
      <c r="S23" s="43">
        <f>COUNTIF(J:J,P23)</f>
        <v>1</v>
      </c>
      <c r="T23" s="43">
        <f>COUNTIF(K:K,P23)+COUNTIF(L:L,P23)</f>
        <v>0</v>
      </c>
      <c r="U23" s="43">
        <f>COUNTIF(M:M,P23)</f>
        <v>0</v>
      </c>
      <c r="V23" s="43">
        <f>SUMIF(E:E,P23,F:F)+SUMIF(I:I,P23,H:H)</f>
        <v>2</v>
      </c>
      <c r="W23" s="43">
        <f>SUMIF(E:E,P23,H:H)+SUMIF(I:I,P23,F:F)</f>
        <v>0</v>
      </c>
      <c r="X23" s="43">
        <f>V23-W23</f>
        <v>2</v>
      </c>
      <c r="Y23" s="43">
        <f>SUMPRODUCT(($Q$23:$Q$26=Q23)*($X$23:$X$26&gt;X23))</f>
        <v>0</v>
      </c>
      <c r="Z23" s="43">
        <f>SUMPRODUCT(($Q$23:$Q$26=Q23)*($X$23:$X$26=X23)*($V$23:$V$26&gt;V23))</f>
        <v>0</v>
      </c>
      <c r="AA23" s="43">
        <f>SUMPRODUCT(($Q$23:$Q$26=Q23)*($X$23:$X$26=X23)*($V$23:$V$26=V23)*($W$23:$W$26&gt;W23))</f>
        <v>0</v>
      </c>
      <c r="AB23" s="43">
        <f>SUMPRODUCT(($Q$23:$Q$26=Q23)*($X$23:$X$26=X23)*($V$23:$V$26=V23)*($W$23:$W$26=W23)*($AC$23:$AC$26&lt;AC23))</f>
        <v>0</v>
      </c>
      <c r="AC23" s="44">
        <v>1</v>
      </c>
      <c r="AD23" s="50"/>
      <c r="AE23" s="132">
        <v>1</v>
      </c>
      <c r="AF23" s="83" t="str">
        <f>VLOOKUP($AE23,$O$23:$X$26,2,FALSE)</f>
        <v>Flamengo</v>
      </c>
      <c r="AG23" s="90">
        <f>VLOOKUP($AE23,$O$23:$X$26,3,FALSE)</f>
        <v>3</v>
      </c>
      <c r="AH23" s="90">
        <f>VLOOKUP($AE23,$O$23:$X$26,4,FALSE)</f>
        <v>1</v>
      </c>
      <c r="AI23" s="90">
        <f>VLOOKUP($AE23,$O$23:$X$26,5,FALSE)</f>
        <v>1</v>
      </c>
      <c r="AJ23" s="90">
        <f>VLOOKUP($AE23,$O$23:$X$26,6,FALSE)</f>
        <v>0</v>
      </c>
      <c r="AK23" s="90">
        <f>VLOOKUP($AE23,$O$23:$X$26,7,FALSE)</f>
        <v>0</v>
      </c>
      <c r="AL23" s="90">
        <f>VLOOKUP($AE23,$O$23:$X$26,8,FALSE)</f>
        <v>2</v>
      </c>
      <c r="AM23" s="90">
        <f>VLOOKUP($AE23,$O$23:$X$26,9,FALSE)</f>
        <v>0</v>
      </c>
      <c r="AN23" s="91">
        <f>VLOOKUP($AE23,$O$23:$X$26,10,FALSE)</f>
        <v>2</v>
      </c>
    </row>
    <row r="24" spans="1:40" x14ac:dyDescent="0.25">
      <c r="A24" s="50"/>
      <c r="B24" s="132" t="s">
        <v>40</v>
      </c>
      <c r="C24" s="10">
        <v>45828</v>
      </c>
      <c r="D24" s="41" t="s">
        <v>16</v>
      </c>
      <c r="E24" s="83" t="str">
        <f>P26</f>
        <v>Los Angeles FC</v>
      </c>
      <c r="F24" s="21"/>
      <c r="G24" s="90" t="s">
        <v>17</v>
      </c>
      <c r="H24" s="21"/>
      <c r="I24" s="26" t="str">
        <f>P24</f>
        <v>Espérance de Tunis</v>
      </c>
      <c r="J24" s="42" t="str">
        <f t="shared" si="0"/>
        <v>empate</v>
      </c>
      <c r="K24" s="43" t="str">
        <f t="shared" si="1"/>
        <v/>
      </c>
      <c r="L24" s="43" t="str">
        <f t="shared" si="2"/>
        <v/>
      </c>
      <c r="M24" s="44" t="str">
        <f t="shared" si="3"/>
        <v>empate</v>
      </c>
      <c r="N24" s="50"/>
      <c r="O24" s="52">
        <f t="shared" ref="O24:O26" si="55">RANK(Q24,$Q$23:$Q$26)+SUM(Y24:AB24)</f>
        <v>3</v>
      </c>
      <c r="P24" s="53" t="str">
        <f>Sorteios!L7</f>
        <v>Espérance de Tunis</v>
      </c>
      <c r="Q24" s="43">
        <f t="shared" ref="Q24:Q26" si="56">(S24*3)+(T24*1)</f>
        <v>0</v>
      </c>
      <c r="R24" s="43">
        <f t="shared" ref="R24:R26" si="57">SUM(S24:U24)</f>
        <v>1</v>
      </c>
      <c r="S24" s="43">
        <f>COUNTIF(J:J,P24)</f>
        <v>0</v>
      </c>
      <c r="T24" s="43">
        <f>COUNTIF(K:K,P24)+COUNTIF(L:L,P24)</f>
        <v>0</v>
      </c>
      <c r="U24" s="43">
        <f>COUNTIF(M:M,P24)</f>
        <v>1</v>
      </c>
      <c r="V24" s="43">
        <f>SUMIF(E:E,P24,F:F)+SUMIF(I:I,P24,H:H)</f>
        <v>0</v>
      </c>
      <c r="W24" s="43">
        <f>SUMIF(E:E,P24,H:H)+SUMIF(I:I,P24,F:F)</f>
        <v>2</v>
      </c>
      <c r="X24" s="43">
        <f t="shared" ref="X24:X26" si="58">V24-W24</f>
        <v>-2</v>
      </c>
      <c r="Y24" s="43">
        <f t="shared" ref="Y24:Y26" si="59">SUMPRODUCT(($Q$23:$Q$26=Q24)*($X$23:$X$26&gt;X24))</f>
        <v>0</v>
      </c>
      <c r="Z24" s="43">
        <f t="shared" ref="Z24:Z26" si="60">SUMPRODUCT(($Q$23:$Q$26=Q24)*($X$23:$X$26=X24)*($V$23:$V$26&gt;V24))</f>
        <v>0</v>
      </c>
      <c r="AA24" s="43">
        <f t="shared" ref="AA24:AA26" si="61">SUMPRODUCT(($Q$23:$Q$26=Q24)*($X$23:$X$26=X24)*($V$23:$V$26=V24)*($W$23:$W$26&gt;W24))</f>
        <v>0</v>
      </c>
      <c r="AB24" s="43">
        <f t="shared" ref="AB24:AB26" si="62">SUMPRODUCT(($Q$23:$Q$26=Q24)*($X$23:$X$26=X24)*($V$23:$V$26=V24)*($W$23:$W$26=W24)*($AC$23:$AC$26&lt;AC24))</f>
        <v>0</v>
      </c>
      <c r="AC24" s="44">
        <v>2</v>
      </c>
      <c r="AD24" s="50"/>
      <c r="AE24" s="132">
        <v>2</v>
      </c>
      <c r="AF24" s="83" t="str">
        <f t="shared" ref="AF24:AF26" si="63">VLOOKUP($AE24,$O$23:$X$26,2,FALSE)</f>
        <v>Chelsea</v>
      </c>
      <c r="AG24" s="90">
        <f t="shared" ref="AG24:AG26" si="64">VLOOKUP($AE24,$O$23:$X$26,3,FALSE)</f>
        <v>3</v>
      </c>
      <c r="AH24" s="90">
        <f t="shared" ref="AH24:AH26" si="65">VLOOKUP($AE24,$O$23:$X$26,4,FALSE)</f>
        <v>1</v>
      </c>
      <c r="AI24" s="90">
        <f t="shared" ref="AI24:AI26" si="66">VLOOKUP($AE24,$O$23:$X$26,5,FALSE)</f>
        <v>1</v>
      </c>
      <c r="AJ24" s="90">
        <f t="shared" ref="AJ24:AJ26" si="67">VLOOKUP($AE24,$O$23:$X$26,6,FALSE)</f>
        <v>0</v>
      </c>
      <c r="AK24" s="90">
        <f t="shared" ref="AK24:AK26" si="68">VLOOKUP($AE24,$O$23:$X$26,7,FALSE)</f>
        <v>0</v>
      </c>
      <c r="AL24" s="90">
        <f t="shared" ref="AL24:AL26" si="69">VLOOKUP($AE24,$O$23:$X$26,8,FALSE)</f>
        <v>2</v>
      </c>
      <c r="AM24" s="90">
        <f t="shared" ref="AM24:AM26" si="70">VLOOKUP($AE24,$O$23:$X$26,9,FALSE)</f>
        <v>0</v>
      </c>
      <c r="AN24" s="91">
        <f t="shared" ref="AN24:AN26" si="71">VLOOKUP($AE24,$O$23:$X$26,10,FALSE)</f>
        <v>2</v>
      </c>
    </row>
    <row r="25" spans="1:40" x14ac:dyDescent="0.25">
      <c r="A25" s="50"/>
      <c r="B25" s="132" t="s">
        <v>40</v>
      </c>
      <c r="C25" s="10">
        <v>45832</v>
      </c>
      <c r="D25" s="41" t="s">
        <v>41</v>
      </c>
      <c r="E25" s="83" t="str">
        <f>P26</f>
        <v>Los Angeles FC</v>
      </c>
      <c r="F25" s="21"/>
      <c r="G25" s="90" t="s">
        <v>17</v>
      </c>
      <c r="H25" s="21"/>
      <c r="I25" s="26" t="str">
        <f>P23</f>
        <v>Flamengo</v>
      </c>
      <c r="J25" s="42" t="str">
        <f t="shared" si="0"/>
        <v>empate</v>
      </c>
      <c r="K25" s="43" t="str">
        <f t="shared" si="1"/>
        <v/>
      </c>
      <c r="L25" s="43" t="str">
        <f t="shared" si="2"/>
        <v/>
      </c>
      <c r="M25" s="44" t="str">
        <f t="shared" si="3"/>
        <v>empate</v>
      </c>
      <c r="N25" s="50"/>
      <c r="O25" s="52">
        <f t="shared" si="55"/>
        <v>2</v>
      </c>
      <c r="P25" s="53" t="str">
        <f>Sorteios!L8</f>
        <v>Chelsea</v>
      </c>
      <c r="Q25" s="43">
        <f t="shared" si="56"/>
        <v>3</v>
      </c>
      <c r="R25" s="43">
        <f t="shared" si="57"/>
        <v>1</v>
      </c>
      <c r="S25" s="43">
        <f>COUNTIF(J:J,P25)</f>
        <v>1</v>
      </c>
      <c r="T25" s="43">
        <f>COUNTIF(K:K,P25)+COUNTIF(L:L,P25)</f>
        <v>0</v>
      </c>
      <c r="U25" s="43">
        <f>COUNTIF(M:M,P25)</f>
        <v>0</v>
      </c>
      <c r="V25" s="43">
        <f>SUMIF(E:E,P25,F:F)+SUMIF(I:I,P25,H:H)</f>
        <v>2</v>
      </c>
      <c r="W25" s="43">
        <f>SUMIF(E:E,P25,H:H)+SUMIF(I:I,P25,F:F)</f>
        <v>0</v>
      </c>
      <c r="X25" s="43">
        <f t="shared" si="58"/>
        <v>2</v>
      </c>
      <c r="Y25" s="43">
        <f t="shared" si="59"/>
        <v>0</v>
      </c>
      <c r="Z25" s="43">
        <f t="shared" si="60"/>
        <v>0</v>
      </c>
      <c r="AA25" s="43">
        <f t="shared" si="61"/>
        <v>0</v>
      </c>
      <c r="AB25" s="43">
        <f t="shared" si="62"/>
        <v>1</v>
      </c>
      <c r="AC25" s="44">
        <v>3</v>
      </c>
      <c r="AD25" s="50"/>
      <c r="AE25" s="132">
        <v>3</v>
      </c>
      <c r="AF25" s="83" t="str">
        <f t="shared" si="63"/>
        <v>Espérance de Tunis</v>
      </c>
      <c r="AG25" s="90">
        <f t="shared" si="64"/>
        <v>0</v>
      </c>
      <c r="AH25" s="90">
        <f t="shared" si="65"/>
        <v>1</v>
      </c>
      <c r="AI25" s="90">
        <f t="shared" si="66"/>
        <v>0</v>
      </c>
      <c r="AJ25" s="90">
        <f t="shared" si="67"/>
        <v>0</v>
      </c>
      <c r="AK25" s="90">
        <f t="shared" si="68"/>
        <v>1</v>
      </c>
      <c r="AL25" s="90">
        <f t="shared" si="69"/>
        <v>0</v>
      </c>
      <c r="AM25" s="90">
        <f t="shared" si="70"/>
        <v>2</v>
      </c>
      <c r="AN25" s="91">
        <f t="shared" si="71"/>
        <v>-2</v>
      </c>
    </row>
    <row r="26" spans="1:40" ht="15.75" thickBot="1" x14ac:dyDescent="0.3">
      <c r="A26" s="50"/>
      <c r="B26" s="133" t="s">
        <v>40</v>
      </c>
      <c r="C26" s="14">
        <v>45832</v>
      </c>
      <c r="D26" s="55" t="s">
        <v>41</v>
      </c>
      <c r="E26" s="84" t="str">
        <f>P24</f>
        <v>Espérance de Tunis</v>
      </c>
      <c r="F26" s="22"/>
      <c r="G26" s="92" t="s">
        <v>17</v>
      </c>
      <c r="H26" s="22"/>
      <c r="I26" s="27" t="str">
        <f>P25</f>
        <v>Chelsea</v>
      </c>
      <c r="J26" s="56" t="str">
        <f t="shared" si="0"/>
        <v>empate</v>
      </c>
      <c r="K26" s="57" t="str">
        <f t="shared" si="1"/>
        <v/>
      </c>
      <c r="L26" s="57" t="str">
        <f t="shared" si="2"/>
        <v/>
      </c>
      <c r="M26" s="58" t="str">
        <f t="shared" si="3"/>
        <v>empate</v>
      </c>
      <c r="N26" s="61"/>
      <c r="O26" s="60">
        <f t="shared" si="55"/>
        <v>4</v>
      </c>
      <c r="P26" s="53" t="str">
        <f>Sorteios!L9</f>
        <v>Los Angeles FC</v>
      </c>
      <c r="Q26" s="57">
        <f t="shared" si="56"/>
        <v>0</v>
      </c>
      <c r="R26" s="57">
        <f t="shared" si="57"/>
        <v>1</v>
      </c>
      <c r="S26" s="43">
        <f>COUNTIF(J:J,P26)</f>
        <v>0</v>
      </c>
      <c r="T26" s="43">
        <f>COUNTIF(K:K,P26)+COUNTIF(L:L,P26)</f>
        <v>0</v>
      </c>
      <c r="U26" s="43">
        <f>COUNTIF(M:M,P26)</f>
        <v>1</v>
      </c>
      <c r="V26" s="57">
        <f>SUMIF(E:E,P26,F:F)+SUMIF(I:I,P26,H:H)</f>
        <v>0</v>
      </c>
      <c r="W26" s="57">
        <f>SUMIF(E:E,P26,H:H)+SUMIF(I:I,P26,F:F)</f>
        <v>2</v>
      </c>
      <c r="X26" s="57">
        <f t="shared" si="58"/>
        <v>-2</v>
      </c>
      <c r="Y26" s="57">
        <f t="shared" si="59"/>
        <v>0</v>
      </c>
      <c r="Z26" s="57">
        <f t="shared" si="60"/>
        <v>0</v>
      </c>
      <c r="AA26" s="57">
        <f t="shared" si="61"/>
        <v>0</v>
      </c>
      <c r="AB26" s="57">
        <f t="shared" si="62"/>
        <v>1</v>
      </c>
      <c r="AC26" s="58">
        <v>4</v>
      </c>
      <c r="AD26" s="61"/>
      <c r="AE26" s="132">
        <v>4</v>
      </c>
      <c r="AF26" s="84" t="str">
        <f t="shared" si="63"/>
        <v>Los Angeles FC</v>
      </c>
      <c r="AG26" s="92">
        <f t="shared" si="64"/>
        <v>0</v>
      </c>
      <c r="AH26" s="92">
        <f t="shared" si="65"/>
        <v>1</v>
      </c>
      <c r="AI26" s="92">
        <f t="shared" si="66"/>
        <v>0</v>
      </c>
      <c r="AJ26" s="92">
        <f t="shared" si="67"/>
        <v>0</v>
      </c>
      <c r="AK26" s="92">
        <f t="shared" si="68"/>
        <v>1</v>
      </c>
      <c r="AL26" s="92">
        <f t="shared" si="69"/>
        <v>0</v>
      </c>
      <c r="AM26" s="92">
        <f t="shared" si="70"/>
        <v>2</v>
      </c>
      <c r="AN26" s="93">
        <f t="shared" si="71"/>
        <v>-2</v>
      </c>
    </row>
    <row r="27" spans="1:40" x14ac:dyDescent="0.25">
      <c r="A27" s="50"/>
      <c r="B27" s="132" t="s">
        <v>39</v>
      </c>
      <c r="C27" s="80">
        <v>45825</v>
      </c>
      <c r="D27" s="40" t="s">
        <v>41</v>
      </c>
      <c r="E27" s="11" t="str">
        <f>P29</f>
        <v>River Plate</v>
      </c>
      <c r="F27" s="21">
        <v>3</v>
      </c>
      <c r="G27" s="12" t="s">
        <v>17</v>
      </c>
      <c r="H27" s="21">
        <v>1</v>
      </c>
      <c r="I27" s="13" t="str">
        <f>P30</f>
        <v>Urawa Red Diamonds</v>
      </c>
      <c r="J27" s="63" t="str">
        <f t="shared" si="0"/>
        <v>River Plate</v>
      </c>
      <c r="K27" s="64" t="str">
        <f t="shared" si="1"/>
        <v/>
      </c>
      <c r="L27" s="64" t="str">
        <f t="shared" si="2"/>
        <v/>
      </c>
      <c r="M27" s="65" t="str">
        <f t="shared" si="3"/>
        <v>Urawa Red Diamonds</v>
      </c>
      <c r="N27" s="66"/>
      <c r="O27" s="67"/>
      <c r="P27" s="47" t="s">
        <v>52</v>
      </c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9"/>
      <c r="AE27" s="87" t="s">
        <v>52</v>
      </c>
      <c r="AF27" s="88"/>
      <c r="AG27" s="88"/>
      <c r="AH27" s="88"/>
      <c r="AI27" s="88"/>
      <c r="AJ27" s="88"/>
      <c r="AK27" s="88"/>
      <c r="AL27" s="88"/>
      <c r="AM27" s="88"/>
      <c r="AN27" s="89"/>
    </row>
    <row r="28" spans="1:40" x14ac:dyDescent="0.25">
      <c r="A28" s="50"/>
      <c r="B28" s="132" t="s">
        <v>39</v>
      </c>
      <c r="C28" s="80">
        <v>45825</v>
      </c>
      <c r="D28" s="40" t="s">
        <v>19</v>
      </c>
      <c r="E28" s="11" t="str">
        <f>P31</f>
        <v>Monterrey</v>
      </c>
      <c r="F28" s="21">
        <v>1</v>
      </c>
      <c r="G28" s="12" t="s">
        <v>17</v>
      </c>
      <c r="H28" s="21">
        <v>1</v>
      </c>
      <c r="I28" s="13" t="str">
        <f>P32</f>
        <v>Internazionale</v>
      </c>
      <c r="J28" s="42" t="str">
        <f t="shared" si="0"/>
        <v>empate</v>
      </c>
      <c r="K28" s="43" t="str">
        <f t="shared" si="1"/>
        <v>Monterrey</v>
      </c>
      <c r="L28" s="43" t="str">
        <f t="shared" si="2"/>
        <v>Internazionale</v>
      </c>
      <c r="M28" s="44" t="str">
        <f t="shared" si="3"/>
        <v>empate</v>
      </c>
      <c r="N28" s="51"/>
      <c r="O28" s="52" t="s">
        <v>20</v>
      </c>
      <c r="P28" s="4" t="s">
        <v>21</v>
      </c>
      <c r="Q28" s="43" t="s">
        <v>22</v>
      </c>
      <c r="R28" s="43" t="s">
        <v>23</v>
      </c>
      <c r="S28" s="43" t="s">
        <v>24</v>
      </c>
      <c r="T28" s="43" t="s">
        <v>25</v>
      </c>
      <c r="U28" s="43" t="s">
        <v>26</v>
      </c>
      <c r="V28" s="43" t="s">
        <v>27</v>
      </c>
      <c r="W28" s="43" t="s">
        <v>28</v>
      </c>
      <c r="X28" s="43" t="s">
        <v>29</v>
      </c>
      <c r="Y28" s="43" t="s">
        <v>30</v>
      </c>
      <c r="Z28" s="43" t="s">
        <v>31</v>
      </c>
      <c r="AA28" s="43" t="s">
        <v>32</v>
      </c>
      <c r="AB28" s="43" t="s">
        <v>33</v>
      </c>
      <c r="AC28" s="44" t="s">
        <v>34</v>
      </c>
      <c r="AD28" s="50"/>
      <c r="AE28" s="132" t="s">
        <v>35</v>
      </c>
      <c r="AF28" s="12" t="s">
        <v>68</v>
      </c>
      <c r="AG28" s="12" t="s">
        <v>36</v>
      </c>
      <c r="AH28" s="12" t="s">
        <v>37</v>
      </c>
      <c r="AI28" s="12" t="s">
        <v>38</v>
      </c>
      <c r="AJ28" s="12" t="s">
        <v>39</v>
      </c>
      <c r="AK28" s="12" t="s">
        <v>40</v>
      </c>
      <c r="AL28" s="12" t="s">
        <v>27</v>
      </c>
      <c r="AM28" s="12" t="s">
        <v>28</v>
      </c>
      <c r="AN28" s="1" t="s">
        <v>29</v>
      </c>
    </row>
    <row r="29" spans="1:40" x14ac:dyDescent="0.25">
      <c r="A29" s="50"/>
      <c r="B29" s="132" t="s">
        <v>39</v>
      </c>
      <c r="C29" s="80">
        <v>45829</v>
      </c>
      <c r="D29" s="40" t="s">
        <v>19</v>
      </c>
      <c r="E29" s="11" t="str">
        <f>P29</f>
        <v>River Plate</v>
      </c>
      <c r="F29" s="21"/>
      <c r="G29" s="12" t="s">
        <v>17</v>
      </c>
      <c r="H29" s="21"/>
      <c r="I29" s="13" t="str">
        <f>P31</f>
        <v>Monterrey</v>
      </c>
      <c r="J29" s="42" t="str">
        <f t="shared" si="0"/>
        <v>empate</v>
      </c>
      <c r="K29" s="43" t="str">
        <f t="shared" si="1"/>
        <v/>
      </c>
      <c r="L29" s="43" t="str">
        <f t="shared" si="2"/>
        <v/>
      </c>
      <c r="M29" s="44" t="str">
        <f t="shared" si="3"/>
        <v>empate</v>
      </c>
      <c r="N29" s="51"/>
      <c r="O29" s="52">
        <f>RANK(Q29,$Q$29:$Q$32)+SUM(Y29:AB29)</f>
        <v>1</v>
      </c>
      <c r="P29" s="53" t="str">
        <f>Sorteios!C14</f>
        <v>River Plate</v>
      </c>
      <c r="Q29" s="43">
        <f>(S29*3)+(T29*1)</f>
        <v>3</v>
      </c>
      <c r="R29" s="43">
        <f>SUM(S29:U29)</f>
        <v>1</v>
      </c>
      <c r="S29" s="43">
        <f>COUNTIF(J:J,P29)</f>
        <v>1</v>
      </c>
      <c r="T29" s="43">
        <f>COUNTIF(K:K,P29)+COUNTIF(L:L,P29)</f>
        <v>0</v>
      </c>
      <c r="U29" s="43">
        <f>COUNTIF(M:M,P29)</f>
        <v>0</v>
      </c>
      <c r="V29" s="43">
        <f>SUMIF(E:E,P29,F:F)+SUMIF(I:I,P29,H:H)</f>
        <v>3</v>
      </c>
      <c r="W29" s="43">
        <f>SUMIF(E:E,P29,H:H)+SUMIF(I:I,P29,F:F)</f>
        <v>1</v>
      </c>
      <c r="X29" s="43">
        <f>V29-W29</f>
        <v>2</v>
      </c>
      <c r="Y29" s="43">
        <f>SUMPRODUCT(($Q$29:$Q$32=Q29)*($X$29:$X$32&gt;X29))</f>
        <v>0</v>
      </c>
      <c r="Z29" s="43">
        <f>SUMPRODUCT(($Q$29:$Q$32=Q29)*($X$29:$X$32=X29)*($V$29:$V$32&gt;V29))</f>
        <v>0</v>
      </c>
      <c r="AA29" s="43">
        <f>SUMPRODUCT(($Q$29:$Q$32=Q29)*($X$29:$X$32=X29)*($V$29:$V$32=V29)*($W$29:$W$32&gt;W29))</f>
        <v>0</v>
      </c>
      <c r="AB29" s="43">
        <f>SUMPRODUCT(($Q$29:$Q$32=Q29)*($X$29:$X$32=X29)*($V$29:$V$32=V29)*($W$29:$W$32=W29)*($AC$29:$AC$32&lt;AC29))</f>
        <v>0</v>
      </c>
      <c r="AC29" s="44">
        <v>1</v>
      </c>
      <c r="AD29" s="50"/>
      <c r="AE29" s="132">
        <v>1</v>
      </c>
      <c r="AF29" s="83" t="str">
        <f>VLOOKUP($AE29,$O$29:$X$32,2,FALSE)</f>
        <v>River Plate</v>
      </c>
      <c r="AG29" s="90">
        <f>VLOOKUP($AE29,$O$29:$X$32,3,FALSE)</f>
        <v>3</v>
      </c>
      <c r="AH29" s="90">
        <f>VLOOKUP($AE29,$O$29:$X$32,4,FALSE)</f>
        <v>1</v>
      </c>
      <c r="AI29" s="90">
        <f>VLOOKUP($AE29,$O$29:$X$32,5,FALSE)</f>
        <v>1</v>
      </c>
      <c r="AJ29" s="90">
        <f>VLOOKUP($AE29,$O$29:$X$32,6,FALSE)</f>
        <v>0</v>
      </c>
      <c r="AK29" s="90">
        <f>VLOOKUP($AE29,$O$29:$X$32,7,FALSE)</f>
        <v>0</v>
      </c>
      <c r="AL29" s="90">
        <f>VLOOKUP($AE29,$O$29:$X$32,8,FALSE)</f>
        <v>3</v>
      </c>
      <c r="AM29" s="90">
        <f>VLOOKUP($AE29,$O$29:$X$32,9,FALSE)</f>
        <v>1</v>
      </c>
      <c r="AN29" s="91">
        <f>VLOOKUP($AE29,$O$29:$X$32,10,FALSE)</f>
        <v>2</v>
      </c>
    </row>
    <row r="30" spans="1:40" x14ac:dyDescent="0.25">
      <c r="A30" s="50"/>
      <c r="B30" s="132" t="s">
        <v>39</v>
      </c>
      <c r="C30" s="80">
        <v>45829</v>
      </c>
      <c r="D30" s="40" t="s">
        <v>41</v>
      </c>
      <c r="E30" s="11" t="str">
        <f>P32</f>
        <v>Internazionale</v>
      </c>
      <c r="F30" s="21"/>
      <c r="G30" s="12" t="s">
        <v>17</v>
      </c>
      <c r="H30" s="21"/>
      <c r="I30" s="13" t="str">
        <f>P30</f>
        <v>Urawa Red Diamonds</v>
      </c>
      <c r="J30" s="42" t="str">
        <f t="shared" si="0"/>
        <v>empate</v>
      </c>
      <c r="K30" s="43" t="str">
        <f t="shared" si="1"/>
        <v/>
      </c>
      <c r="L30" s="43" t="str">
        <f t="shared" si="2"/>
        <v/>
      </c>
      <c r="M30" s="44" t="str">
        <f t="shared" si="3"/>
        <v>empate</v>
      </c>
      <c r="N30" s="51"/>
      <c r="O30" s="52">
        <f t="shared" ref="O30:O32" si="72">RANK(Q30,$Q$29:$Q$32)+SUM(Y30:AB30)</f>
        <v>4</v>
      </c>
      <c r="P30" s="53" t="str">
        <f>Sorteios!C15</f>
        <v>Urawa Red Diamonds</v>
      </c>
      <c r="Q30" s="43">
        <f t="shared" ref="Q30:Q32" si="73">(S30*3)+(T30*1)</f>
        <v>0</v>
      </c>
      <c r="R30" s="43">
        <f t="shared" ref="R30:R32" si="74">SUM(S30:U30)</f>
        <v>1</v>
      </c>
      <c r="S30" s="43">
        <f>COUNTIF(J:J,P30)</f>
        <v>0</v>
      </c>
      <c r="T30" s="43">
        <f>COUNTIF(K:K,P30)+COUNTIF(L:L,P30)</f>
        <v>0</v>
      </c>
      <c r="U30" s="43">
        <f>COUNTIF(M:M,P30)</f>
        <v>1</v>
      </c>
      <c r="V30" s="43">
        <f>SUMIF(E:E,P30,F:F)+SUMIF(I:I,P30,H:H)</f>
        <v>1</v>
      </c>
      <c r="W30" s="43">
        <f>SUMIF(E:E,P30,H:H)+SUMIF(I:I,P30,F:F)</f>
        <v>3</v>
      </c>
      <c r="X30" s="43">
        <f t="shared" ref="X30:X32" si="75">V30-W30</f>
        <v>-2</v>
      </c>
      <c r="Y30" s="43">
        <f t="shared" ref="Y30:Y32" si="76">SUMPRODUCT(($Q$29:$Q$32=Q30)*($X$29:$X$32&gt;X30))</f>
        <v>0</v>
      </c>
      <c r="Z30" s="43">
        <f t="shared" ref="Z30:Z32" si="77">SUMPRODUCT(($Q$29:$Q$32=Q30)*($X$29:$X$32=X30)*($V$29:$V$32&gt;V30))</f>
        <v>0</v>
      </c>
      <c r="AA30" s="43">
        <f t="shared" ref="AA30:AA32" si="78">SUMPRODUCT(($Q$29:$Q$32=Q30)*($X$29:$X$32=X30)*($V$29:$V$32=V30)*($W$29:$W$32&gt;W30))</f>
        <v>0</v>
      </c>
      <c r="AB30" s="43">
        <f t="shared" ref="AB30:AB32" si="79">SUMPRODUCT(($Q$29:$Q$32=Q30)*($X$29:$X$32=X30)*($V$29:$V$32=V30)*($W$29:$W$32=W30)*($AC$29:$AC$32&lt;AC30))</f>
        <v>0</v>
      </c>
      <c r="AC30" s="44">
        <v>2</v>
      </c>
      <c r="AD30" s="50"/>
      <c r="AE30" s="132">
        <v>2</v>
      </c>
      <c r="AF30" s="83" t="str">
        <f t="shared" ref="AF30:AF32" si="80">VLOOKUP($AE30,$O$29:$X$32,2,FALSE)</f>
        <v>Monterrey</v>
      </c>
      <c r="AG30" s="90">
        <f t="shared" ref="AG30:AG32" si="81">VLOOKUP($AE30,$O$29:$X$32,3,FALSE)</f>
        <v>1</v>
      </c>
      <c r="AH30" s="90">
        <f t="shared" ref="AH30:AH32" si="82">VLOOKUP($AE30,$O$29:$X$32,4,FALSE)</f>
        <v>1</v>
      </c>
      <c r="AI30" s="90">
        <f t="shared" ref="AI30:AI32" si="83">VLOOKUP($AE30,$O$29:$X$32,5,FALSE)</f>
        <v>0</v>
      </c>
      <c r="AJ30" s="90">
        <f t="shared" ref="AJ30:AJ32" si="84">VLOOKUP($AE30,$O$29:$X$32,6,FALSE)</f>
        <v>1</v>
      </c>
      <c r="AK30" s="90">
        <f t="shared" ref="AK30:AK32" si="85">VLOOKUP($AE30,$O$29:$X$32,7,FALSE)</f>
        <v>0</v>
      </c>
      <c r="AL30" s="90">
        <f t="shared" ref="AL30:AL32" si="86">VLOOKUP($AE30,$O$29:$X$32,8,FALSE)</f>
        <v>1</v>
      </c>
      <c r="AM30" s="90">
        <f t="shared" ref="AM30:AM32" si="87">VLOOKUP($AE30,$O$29:$X$32,9,FALSE)</f>
        <v>1</v>
      </c>
      <c r="AN30" s="91">
        <f t="shared" ref="AN30:AN32" si="88">VLOOKUP($AE30,$O$29:$X$32,10,FALSE)</f>
        <v>0</v>
      </c>
    </row>
    <row r="31" spans="1:40" x14ac:dyDescent="0.25">
      <c r="A31" s="50"/>
      <c r="B31" s="132" t="s">
        <v>39</v>
      </c>
      <c r="C31" s="80">
        <v>45833</v>
      </c>
      <c r="D31" s="40" t="s">
        <v>41</v>
      </c>
      <c r="E31" s="11" t="str">
        <f>P32</f>
        <v>Internazionale</v>
      </c>
      <c r="F31" s="21"/>
      <c r="G31" s="12" t="s">
        <v>17</v>
      </c>
      <c r="H31" s="21"/>
      <c r="I31" s="13" t="str">
        <f>P29</f>
        <v>River Plate</v>
      </c>
      <c r="J31" s="42" t="str">
        <f t="shared" si="0"/>
        <v>empate</v>
      </c>
      <c r="K31" s="43" t="str">
        <f t="shared" si="1"/>
        <v/>
      </c>
      <c r="L31" s="43" t="str">
        <f t="shared" si="2"/>
        <v/>
      </c>
      <c r="M31" s="44" t="str">
        <f t="shared" si="3"/>
        <v>empate</v>
      </c>
      <c r="N31" s="51"/>
      <c r="O31" s="52">
        <f t="shared" si="72"/>
        <v>2</v>
      </c>
      <c r="P31" s="53" t="str">
        <f>Sorteios!C16</f>
        <v>Monterrey</v>
      </c>
      <c r="Q31" s="43">
        <f t="shared" si="73"/>
        <v>1</v>
      </c>
      <c r="R31" s="43">
        <f t="shared" si="74"/>
        <v>1</v>
      </c>
      <c r="S31" s="43">
        <f>COUNTIF(J:J,P31)</f>
        <v>0</v>
      </c>
      <c r="T31" s="43">
        <f>COUNTIF(K:K,P31)+COUNTIF(L:L,P31)</f>
        <v>1</v>
      </c>
      <c r="U31" s="43">
        <f>COUNTIF(M:M,P31)</f>
        <v>0</v>
      </c>
      <c r="V31" s="43">
        <f>SUMIF(E:E,P31,F:F)+SUMIF(I:I,P31,H:H)</f>
        <v>1</v>
      </c>
      <c r="W31" s="43">
        <f>SUMIF(E:E,P31,H:H)+SUMIF(I:I,P31,F:F)</f>
        <v>1</v>
      </c>
      <c r="X31" s="43">
        <f t="shared" si="75"/>
        <v>0</v>
      </c>
      <c r="Y31" s="43">
        <f t="shared" si="76"/>
        <v>0</v>
      </c>
      <c r="Z31" s="43">
        <f t="shared" si="77"/>
        <v>0</v>
      </c>
      <c r="AA31" s="43">
        <f t="shared" si="78"/>
        <v>0</v>
      </c>
      <c r="AB31" s="43">
        <f t="shared" si="79"/>
        <v>0</v>
      </c>
      <c r="AC31" s="44">
        <v>3</v>
      </c>
      <c r="AD31" s="50"/>
      <c r="AE31" s="132">
        <v>3</v>
      </c>
      <c r="AF31" s="83" t="str">
        <f t="shared" si="80"/>
        <v>Internazionale</v>
      </c>
      <c r="AG31" s="90">
        <f t="shared" si="81"/>
        <v>1</v>
      </c>
      <c r="AH31" s="90">
        <f t="shared" si="82"/>
        <v>1</v>
      </c>
      <c r="AI31" s="90">
        <f t="shared" si="83"/>
        <v>0</v>
      </c>
      <c r="AJ31" s="90">
        <f t="shared" si="84"/>
        <v>1</v>
      </c>
      <c r="AK31" s="90">
        <f t="shared" si="85"/>
        <v>0</v>
      </c>
      <c r="AL31" s="90">
        <f t="shared" si="86"/>
        <v>1</v>
      </c>
      <c r="AM31" s="90">
        <f t="shared" si="87"/>
        <v>1</v>
      </c>
      <c r="AN31" s="91">
        <f t="shared" si="88"/>
        <v>0</v>
      </c>
    </row>
    <row r="32" spans="1:40" ht="15.75" thickBot="1" x14ac:dyDescent="0.3">
      <c r="A32" s="50"/>
      <c r="B32" s="133" t="s">
        <v>39</v>
      </c>
      <c r="C32" s="81">
        <v>45833</v>
      </c>
      <c r="D32" s="54" t="s">
        <v>41</v>
      </c>
      <c r="E32" s="15" t="str">
        <f>P30</f>
        <v>Urawa Red Diamonds</v>
      </c>
      <c r="F32" s="22"/>
      <c r="G32" s="16" t="s">
        <v>17</v>
      </c>
      <c r="H32" s="22"/>
      <c r="I32" s="17" t="str">
        <f>P31</f>
        <v>Monterrey</v>
      </c>
      <c r="J32" s="56" t="str">
        <f t="shared" si="0"/>
        <v>empate</v>
      </c>
      <c r="K32" s="57" t="str">
        <f t="shared" si="1"/>
        <v/>
      </c>
      <c r="L32" s="57" t="str">
        <f t="shared" si="2"/>
        <v/>
      </c>
      <c r="M32" s="58" t="str">
        <f t="shared" si="3"/>
        <v>empate</v>
      </c>
      <c r="N32" s="59"/>
      <c r="O32" s="60">
        <f t="shared" si="72"/>
        <v>3</v>
      </c>
      <c r="P32" s="53" t="str">
        <f>Sorteios!C17</f>
        <v>Internazionale</v>
      </c>
      <c r="Q32" s="57">
        <f t="shared" si="73"/>
        <v>1</v>
      </c>
      <c r="R32" s="57">
        <f t="shared" si="74"/>
        <v>1</v>
      </c>
      <c r="S32" s="43">
        <f>COUNTIF(J:J,P32)</f>
        <v>0</v>
      </c>
      <c r="T32" s="43">
        <f>COUNTIF(K:K,P32)+COUNTIF(L:L,P32)</f>
        <v>1</v>
      </c>
      <c r="U32" s="43">
        <f>COUNTIF(M:M,P32)</f>
        <v>0</v>
      </c>
      <c r="V32" s="57">
        <f>SUMIF(E:E,P32,F:F)+SUMIF(I:I,P32,H:H)</f>
        <v>1</v>
      </c>
      <c r="W32" s="57">
        <f>SUMIF(E:E,P32,H:H)+SUMIF(I:I,P32,F:F)</f>
        <v>1</v>
      </c>
      <c r="X32" s="57">
        <f t="shared" si="75"/>
        <v>0</v>
      </c>
      <c r="Y32" s="57">
        <f t="shared" si="76"/>
        <v>0</v>
      </c>
      <c r="Z32" s="57">
        <f t="shared" si="77"/>
        <v>0</v>
      </c>
      <c r="AA32" s="57">
        <f t="shared" si="78"/>
        <v>0</v>
      </c>
      <c r="AB32" s="57">
        <f t="shared" si="79"/>
        <v>1</v>
      </c>
      <c r="AC32" s="58">
        <v>4</v>
      </c>
      <c r="AD32" s="61"/>
      <c r="AE32" s="132">
        <v>4</v>
      </c>
      <c r="AF32" s="84" t="str">
        <f t="shared" si="80"/>
        <v>Urawa Red Diamonds</v>
      </c>
      <c r="AG32" s="92">
        <f t="shared" si="81"/>
        <v>0</v>
      </c>
      <c r="AH32" s="92">
        <f t="shared" si="82"/>
        <v>1</v>
      </c>
      <c r="AI32" s="92">
        <f t="shared" si="83"/>
        <v>0</v>
      </c>
      <c r="AJ32" s="92">
        <f t="shared" si="84"/>
        <v>0</v>
      </c>
      <c r="AK32" s="92">
        <f t="shared" si="85"/>
        <v>1</v>
      </c>
      <c r="AL32" s="92">
        <f t="shared" si="86"/>
        <v>1</v>
      </c>
      <c r="AM32" s="92">
        <f t="shared" si="87"/>
        <v>3</v>
      </c>
      <c r="AN32" s="93">
        <f t="shared" si="88"/>
        <v>-2</v>
      </c>
    </row>
    <row r="33" spans="1:40" x14ac:dyDescent="0.25">
      <c r="A33" s="50"/>
      <c r="B33" s="134" t="s">
        <v>53</v>
      </c>
      <c r="C33" s="18">
        <v>45825</v>
      </c>
      <c r="D33" s="62" t="s">
        <v>16</v>
      </c>
      <c r="E33" s="82" t="str">
        <f>P35</f>
        <v>Fluminense</v>
      </c>
      <c r="F33" s="21">
        <v>0</v>
      </c>
      <c r="G33" s="99" t="s">
        <v>17</v>
      </c>
      <c r="H33" s="21">
        <v>0</v>
      </c>
      <c r="I33" s="85" t="str">
        <f>P36</f>
        <v>Borussia Dortmund</v>
      </c>
      <c r="J33" s="63" t="str">
        <f t="shared" si="0"/>
        <v>empate</v>
      </c>
      <c r="K33" s="64" t="str">
        <f t="shared" si="1"/>
        <v>Fluminense</v>
      </c>
      <c r="L33" s="64" t="str">
        <f t="shared" si="2"/>
        <v>Borussia Dortmund</v>
      </c>
      <c r="M33" s="65" t="str">
        <f t="shared" si="3"/>
        <v>empate</v>
      </c>
      <c r="N33" s="69"/>
      <c r="O33" s="67"/>
      <c r="P33" s="47" t="s">
        <v>54</v>
      </c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9"/>
      <c r="AE33" s="87" t="s">
        <v>54</v>
      </c>
      <c r="AF33" s="88"/>
      <c r="AG33" s="88"/>
      <c r="AH33" s="88"/>
      <c r="AI33" s="88"/>
      <c r="AJ33" s="88"/>
      <c r="AK33" s="88"/>
      <c r="AL33" s="88"/>
      <c r="AM33" s="88"/>
      <c r="AN33" s="89"/>
    </row>
    <row r="34" spans="1:40" x14ac:dyDescent="0.25">
      <c r="A34" s="50"/>
      <c r="B34" s="132" t="s">
        <v>53</v>
      </c>
      <c r="C34" s="10">
        <v>45825</v>
      </c>
      <c r="D34" s="41" t="s">
        <v>19</v>
      </c>
      <c r="E34" s="83" t="str">
        <f>P37</f>
        <v>Ulsan</v>
      </c>
      <c r="F34" s="21">
        <v>0</v>
      </c>
      <c r="G34" s="90" t="s">
        <v>17</v>
      </c>
      <c r="H34" s="21">
        <v>1</v>
      </c>
      <c r="I34" s="26" t="str">
        <f>P38</f>
        <v>Mamelodi Sundowns</v>
      </c>
      <c r="J34" s="42" t="str">
        <f t="shared" si="0"/>
        <v>Mamelodi Sundowns</v>
      </c>
      <c r="K34" s="43" t="str">
        <f t="shared" si="1"/>
        <v/>
      </c>
      <c r="L34" s="43" t="str">
        <f t="shared" si="2"/>
        <v/>
      </c>
      <c r="M34" s="44" t="str">
        <f t="shared" si="3"/>
        <v>Ulsan</v>
      </c>
      <c r="N34" s="50"/>
      <c r="O34" s="52" t="s">
        <v>20</v>
      </c>
      <c r="P34" s="4" t="s">
        <v>21</v>
      </c>
      <c r="Q34" s="43" t="s">
        <v>22</v>
      </c>
      <c r="R34" s="43" t="s">
        <v>23</v>
      </c>
      <c r="S34" s="43" t="s">
        <v>24</v>
      </c>
      <c r="T34" s="43" t="s">
        <v>25</v>
      </c>
      <c r="U34" s="43" t="s">
        <v>26</v>
      </c>
      <c r="V34" s="43" t="s">
        <v>27</v>
      </c>
      <c r="W34" s="43" t="s">
        <v>28</v>
      </c>
      <c r="X34" s="43" t="s">
        <v>29</v>
      </c>
      <c r="Y34" s="43" t="s">
        <v>30</v>
      </c>
      <c r="Z34" s="43" t="s">
        <v>31</v>
      </c>
      <c r="AA34" s="43" t="s">
        <v>32</v>
      </c>
      <c r="AB34" s="43" t="s">
        <v>33</v>
      </c>
      <c r="AC34" s="44" t="s">
        <v>34</v>
      </c>
      <c r="AD34" s="50"/>
      <c r="AE34" s="132" t="s">
        <v>35</v>
      </c>
      <c r="AF34" s="12" t="s">
        <v>68</v>
      </c>
      <c r="AG34" s="12" t="s">
        <v>36</v>
      </c>
      <c r="AH34" s="12" t="s">
        <v>37</v>
      </c>
      <c r="AI34" s="12" t="s">
        <v>38</v>
      </c>
      <c r="AJ34" s="12" t="s">
        <v>39</v>
      </c>
      <c r="AK34" s="12" t="s">
        <v>40</v>
      </c>
      <c r="AL34" s="12" t="s">
        <v>27</v>
      </c>
      <c r="AM34" s="12" t="s">
        <v>28</v>
      </c>
      <c r="AN34" s="1" t="s">
        <v>29</v>
      </c>
    </row>
    <row r="35" spans="1:40" x14ac:dyDescent="0.25">
      <c r="A35" s="50"/>
      <c r="B35" s="132" t="s">
        <v>53</v>
      </c>
      <c r="C35" s="10">
        <v>45829</v>
      </c>
      <c r="D35" s="41" t="s">
        <v>41</v>
      </c>
      <c r="E35" s="83" t="str">
        <f>P35</f>
        <v>Fluminense</v>
      </c>
      <c r="F35" s="21"/>
      <c r="G35" s="90" t="s">
        <v>17</v>
      </c>
      <c r="H35" s="21"/>
      <c r="I35" s="26" t="str">
        <f>P37</f>
        <v>Ulsan</v>
      </c>
      <c r="J35" s="42" t="str">
        <f t="shared" ref="J35:J50" si="89">IF(F35=H35,"empate",IF(F35&gt;H35,E35,I35))</f>
        <v>empate</v>
      </c>
      <c r="K35" s="43" t="str">
        <f t="shared" ref="K35:K50" si="90">IF(F35="","",IF(H35="","",IF(J35="empate",E35,"")))</f>
        <v/>
      </c>
      <c r="L35" s="43" t="str">
        <f t="shared" ref="L35:L50" si="91">IF(E35="","",IF(F35="","",IF(M35="empate",I35,"")))</f>
        <v/>
      </c>
      <c r="M35" s="44" t="str">
        <f t="shared" ref="M35:M50" si="92">IF(F35=H35,"empate",IF(F35&lt;H35,E35,I35))</f>
        <v>empate</v>
      </c>
      <c r="N35" s="50"/>
      <c r="O35" s="52">
        <f>RANK(Q35,$Q$35:$Q$38)+SUM(Y35:AB35)</f>
        <v>2</v>
      </c>
      <c r="P35" s="53" t="str">
        <f>Sorteios!F14</f>
        <v>Fluminense</v>
      </c>
      <c r="Q35" s="43">
        <f>(S35*3)+(T35*1)</f>
        <v>1</v>
      </c>
      <c r="R35" s="43">
        <f>SUM(S35:U35)</f>
        <v>1</v>
      </c>
      <c r="S35" s="43">
        <f>COUNTIF(J:J,P35)</f>
        <v>0</v>
      </c>
      <c r="T35" s="43">
        <f>COUNTIF(K:K,P35)+COUNTIF(L:L,P35)</f>
        <v>1</v>
      </c>
      <c r="U35" s="43">
        <f>COUNTIF(M:M,P35)</f>
        <v>0</v>
      </c>
      <c r="V35" s="43">
        <f>SUMIF(E:E,P35,F:F)+SUMIF(I:I,P35,H:H)</f>
        <v>0</v>
      </c>
      <c r="W35" s="43">
        <f>SUMIF(E:E,P35,H:H)+SUMIF(I:I,P35,F:F)</f>
        <v>0</v>
      </c>
      <c r="X35" s="43">
        <f>V35-W35</f>
        <v>0</v>
      </c>
      <c r="Y35" s="43">
        <f>SUMPRODUCT(($Q$35:$Q$38=Q35)*($X$35:$X$38&gt;X35))</f>
        <v>0</v>
      </c>
      <c r="Z35" s="43">
        <f>SUMPRODUCT(($Q$35:$Q$38=Q35)*($X$35:$X$38=X35)*($V$35:$V$38&gt;V35))</f>
        <v>0</v>
      </c>
      <c r="AA35" s="43">
        <f>SUMPRODUCT(($Q$35:$Q$38=Q35)*($X$35:$X$38=X35)*($V$35:$V$38=V35)*($W$35:$W$38&gt;W35))</f>
        <v>0</v>
      </c>
      <c r="AB35" s="43">
        <f>SUMPRODUCT(($Q$35:$Q$38=Q35)*($X$35:$X$38=X35)*($V$35:$V$38=V35)*($W$35:$W$38=W35)*($AC$35:$AC$38&lt;AC35))</f>
        <v>0</v>
      </c>
      <c r="AC35" s="44">
        <v>1</v>
      </c>
      <c r="AD35" s="50"/>
      <c r="AE35" s="132">
        <v>1</v>
      </c>
      <c r="AF35" s="83" t="str">
        <f>VLOOKUP($AE35,$O$35:$X$38,2,FALSE)</f>
        <v>Mamelodi Sundowns</v>
      </c>
      <c r="AG35" s="90">
        <f>VLOOKUP($AE35,$O$35:$X$38,3,FALSE)</f>
        <v>3</v>
      </c>
      <c r="AH35" s="90">
        <f>VLOOKUP($AE35,$O$35:$X$38,4,FALSE)</f>
        <v>1</v>
      </c>
      <c r="AI35" s="90">
        <f>VLOOKUP($AE35,$O$35:$X$38,5,FALSE)</f>
        <v>1</v>
      </c>
      <c r="AJ35" s="90">
        <f>VLOOKUP($AE35,$O$35:$X$38,6,FALSE)</f>
        <v>0</v>
      </c>
      <c r="AK35" s="90">
        <f>VLOOKUP($AE35,$O$35:$X$38,7,FALSE)</f>
        <v>0</v>
      </c>
      <c r="AL35" s="90">
        <f>VLOOKUP($AE35,$O$35:$X$38,8,FALSE)</f>
        <v>1</v>
      </c>
      <c r="AM35" s="90">
        <f>VLOOKUP($AE35,$O$35:$X$38,9,FALSE)</f>
        <v>0</v>
      </c>
      <c r="AN35" s="91">
        <f>VLOOKUP($AE35,$O$35:$X$38,10,FALSE)</f>
        <v>1</v>
      </c>
    </row>
    <row r="36" spans="1:40" x14ac:dyDescent="0.25">
      <c r="A36" s="50"/>
      <c r="B36" s="132" t="s">
        <v>53</v>
      </c>
      <c r="C36" s="10">
        <v>45829</v>
      </c>
      <c r="D36" s="41" t="s">
        <v>16</v>
      </c>
      <c r="E36" s="83" t="str">
        <f>P38</f>
        <v>Mamelodi Sundowns</v>
      </c>
      <c r="F36" s="21"/>
      <c r="G36" s="90" t="s">
        <v>17</v>
      </c>
      <c r="H36" s="21"/>
      <c r="I36" s="26" t="str">
        <f>P36</f>
        <v>Borussia Dortmund</v>
      </c>
      <c r="J36" s="42" t="str">
        <f t="shared" si="89"/>
        <v>empate</v>
      </c>
      <c r="K36" s="43" t="str">
        <f t="shared" si="90"/>
        <v/>
      </c>
      <c r="L36" s="43" t="str">
        <f t="shared" si="91"/>
        <v/>
      </c>
      <c r="M36" s="44" t="str">
        <f t="shared" si="92"/>
        <v>empate</v>
      </c>
      <c r="N36" s="50"/>
      <c r="O36" s="52">
        <f t="shared" ref="O36:O38" si="93">RANK(Q36,$Q$35:$Q$38)+SUM(Y36:AB36)</f>
        <v>3</v>
      </c>
      <c r="P36" s="53" t="str">
        <f>Sorteios!F15</f>
        <v>Borussia Dortmund</v>
      </c>
      <c r="Q36" s="43">
        <f t="shared" ref="Q36:Q38" si="94">(S36*3)+(T36*1)</f>
        <v>1</v>
      </c>
      <c r="R36" s="43">
        <f t="shared" ref="R36:R38" si="95">SUM(S36:U36)</f>
        <v>1</v>
      </c>
      <c r="S36" s="43">
        <f>COUNTIF(J:J,P36)</f>
        <v>0</v>
      </c>
      <c r="T36" s="43">
        <f>COUNTIF(K:K,P36)+COUNTIF(L:L,P36)</f>
        <v>1</v>
      </c>
      <c r="U36" s="43">
        <f>COUNTIF(M:M,P36)</f>
        <v>0</v>
      </c>
      <c r="V36" s="43">
        <f>SUMIF(E:E,P36,F:F)+SUMIF(I:I,P36,H:H)</f>
        <v>0</v>
      </c>
      <c r="W36" s="43">
        <f>SUMIF(E:E,P36,H:H)+SUMIF(I:I,P36,F:F)</f>
        <v>0</v>
      </c>
      <c r="X36" s="43">
        <f t="shared" ref="X36:X38" si="96">V36-W36</f>
        <v>0</v>
      </c>
      <c r="Y36" s="43">
        <f t="shared" ref="Y36:Y38" si="97">SUMPRODUCT(($Q$35:$Q$38=Q36)*($X$35:$X$38&gt;X36))</f>
        <v>0</v>
      </c>
      <c r="Z36" s="43">
        <f t="shared" ref="Z36:Z38" si="98">SUMPRODUCT(($Q$35:$Q$38=Q36)*($X$35:$X$38=X36)*($V$35:$V$38&gt;V36))</f>
        <v>0</v>
      </c>
      <c r="AA36" s="43">
        <f t="shared" ref="AA36:AA38" si="99">SUMPRODUCT(($Q$35:$Q$38=Q36)*($X$35:$X$38=X36)*($V$35:$V$38=V36)*($W$35:$W$38&gt;W36))</f>
        <v>0</v>
      </c>
      <c r="AB36" s="43">
        <f t="shared" ref="AB36:AB38" si="100">SUMPRODUCT(($Q$35:$Q$38=Q36)*($X$35:$X$38=X36)*($V$35:$V$38=V36)*($W$35:$W$38=W36)*($AC$35:$AC$38&lt;AC36))</f>
        <v>1</v>
      </c>
      <c r="AC36" s="44">
        <v>2</v>
      </c>
      <c r="AD36" s="50"/>
      <c r="AE36" s="132">
        <v>2</v>
      </c>
      <c r="AF36" s="83" t="str">
        <f t="shared" ref="AF36:AF38" si="101">VLOOKUP($AE36,$O$35:$X$38,2,FALSE)</f>
        <v>Fluminense</v>
      </c>
      <c r="AG36" s="90">
        <f t="shared" ref="AG36:AG38" si="102">VLOOKUP($AE36,$O$35:$X$38,3,FALSE)</f>
        <v>1</v>
      </c>
      <c r="AH36" s="90">
        <f t="shared" ref="AH36:AH38" si="103">VLOOKUP($AE36,$O$35:$X$38,4,FALSE)</f>
        <v>1</v>
      </c>
      <c r="AI36" s="90">
        <f t="shared" ref="AI36:AI38" si="104">VLOOKUP($AE36,$O$35:$X$38,5,FALSE)</f>
        <v>0</v>
      </c>
      <c r="AJ36" s="90">
        <f t="shared" ref="AJ36:AJ38" si="105">VLOOKUP($AE36,$O$35:$X$38,6,FALSE)</f>
        <v>1</v>
      </c>
      <c r="AK36" s="90">
        <f t="shared" ref="AK36:AK38" si="106">VLOOKUP($AE36,$O$35:$X$38,7,FALSE)</f>
        <v>0</v>
      </c>
      <c r="AL36" s="90">
        <f t="shared" ref="AL36:AL38" si="107">VLOOKUP($AE36,$O$35:$X$38,8,FALSE)</f>
        <v>0</v>
      </c>
      <c r="AM36" s="90">
        <f t="shared" ref="AM36:AM38" si="108">VLOOKUP($AE36,$O$35:$X$38,9,FALSE)</f>
        <v>0</v>
      </c>
      <c r="AN36" s="91">
        <f t="shared" ref="AN36:AN38" si="109">VLOOKUP($AE36,$O$35:$X$38,10,FALSE)</f>
        <v>0</v>
      </c>
    </row>
    <row r="37" spans="1:40" x14ac:dyDescent="0.25">
      <c r="A37" s="50"/>
      <c r="B37" s="132" t="s">
        <v>53</v>
      </c>
      <c r="C37" s="10">
        <v>45833</v>
      </c>
      <c r="D37" s="41" t="s">
        <v>42</v>
      </c>
      <c r="E37" s="83" t="str">
        <f>P38</f>
        <v>Mamelodi Sundowns</v>
      </c>
      <c r="F37" s="21"/>
      <c r="G37" s="90" t="s">
        <v>17</v>
      </c>
      <c r="H37" s="21"/>
      <c r="I37" s="26" t="str">
        <f>P35</f>
        <v>Fluminense</v>
      </c>
      <c r="J37" s="42" t="str">
        <f t="shared" si="89"/>
        <v>empate</v>
      </c>
      <c r="K37" s="43" t="str">
        <f t="shared" si="90"/>
        <v/>
      </c>
      <c r="L37" s="43" t="str">
        <f t="shared" si="91"/>
        <v/>
      </c>
      <c r="M37" s="44" t="str">
        <f t="shared" si="92"/>
        <v>empate</v>
      </c>
      <c r="N37" s="50"/>
      <c r="O37" s="52">
        <f t="shared" si="93"/>
        <v>4</v>
      </c>
      <c r="P37" s="53" t="str">
        <f>Sorteios!F16</f>
        <v>Ulsan</v>
      </c>
      <c r="Q37" s="43">
        <f t="shared" si="94"/>
        <v>0</v>
      </c>
      <c r="R37" s="43">
        <f t="shared" si="95"/>
        <v>1</v>
      </c>
      <c r="S37" s="43">
        <f>COUNTIF(J:J,P37)</f>
        <v>0</v>
      </c>
      <c r="T37" s="43">
        <f>COUNTIF(K:K,P37)+COUNTIF(L:L,P37)</f>
        <v>0</v>
      </c>
      <c r="U37" s="43">
        <f>COUNTIF(M:M,P37)</f>
        <v>1</v>
      </c>
      <c r="V37" s="43">
        <f>SUMIF(E:E,P37,F:F)+SUMIF(I:I,P37,H:H)</f>
        <v>0</v>
      </c>
      <c r="W37" s="43">
        <f>SUMIF(E:E,P37,H:H)+SUMIF(I:I,P37,F:F)</f>
        <v>1</v>
      </c>
      <c r="X37" s="43">
        <f t="shared" si="96"/>
        <v>-1</v>
      </c>
      <c r="Y37" s="43">
        <f t="shared" si="97"/>
        <v>0</v>
      </c>
      <c r="Z37" s="43">
        <f t="shared" si="98"/>
        <v>0</v>
      </c>
      <c r="AA37" s="43">
        <f t="shared" si="99"/>
        <v>0</v>
      </c>
      <c r="AB37" s="43">
        <f t="shared" si="100"/>
        <v>0</v>
      </c>
      <c r="AC37" s="44">
        <v>3</v>
      </c>
      <c r="AD37" s="50"/>
      <c r="AE37" s="132">
        <v>3</v>
      </c>
      <c r="AF37" s="83" t="str">
        <f t="shared" si="101"/>
        <v>Borussia Dortmund</v>
      </c>
      <c r="AG37" s="90">
        <f t="shared" si="102"/>
        <v>1</v>
      </c>
      <c r="AH37" s="90">
        <f t="shared" si="103"/>
        <v>1</v>
      </c>
      <c r="AI37" s="90">
        <f t="shared" si="104"/>
        <v>0</v>
      </c>
      <c r="AJ37" s="90">
        <f t="shared" si="105"/>
        <v>1</v>
      </c>
      <c r="AK37" s="90">
        <f t="shared" si="106"/>
        <v>0</v>
      </c>
      <c r="AL37" s="90">
        <f t="shared" si="107"/>
        <v>0</v>
      </c>
      <c r="AM37" s="90">
        <f t="shared" si="108"/>
        <v>0</v>
      </c>
      <c r="AN37" s="91">
        <f t="shared" si="109"/>
        <v>0</v>
      </c>
    </row>
    <row r="38" spans="1:40" ht="15.75" thickBot="1" x14ac:dyDescent="0.3">
      <c r="A38" s="50"/>
      <c r="B38" s="133" t="s">
        <v>53</v>
      </c>
      <c r="C38" s="14">
        <v>45833</v>
      </c>
      <c r="D38" s="55" t="s">
        <v>42</v>
      </c>
      <c r="E38" s="84" t="str">
        <f>P36</f>
        <v>Borussia Dortmund</v>
      </c>
      <c r="F38" s="22"/>
      <c r="G38" s="92" t="s">
        <v>17</v>
      </c>
      <c r="H38" s="22"/>
      <c r="I38" s="27" t="str">
        <f>P37</f>
        <v>Ulsan</v>
      </c>
      <c r="J38" s="56" t="str">
        <f t="shared" si="89"/>
        <v>empate</v>
      </c>
      <c r="K38" s="57" t="str">
        <f t="shared" si="90"/>
        <v/>
      </c>
      <c r="L38" s="57" t="str">
        <f t="shared" si="91"/>
        <v/>
      </c>
      <c r="M38" s="58" t="str">
        <f t="shared" si="92"/>
        <v>empate</v>
      </c>
      <c r="N38" s="61"/>
      <c r="O38" s="60">
        <f t="shared" si="93"/>
        <v>1</v>
      </c>
      <c r="P38" s="53" t="str">
        <f>Sorteios!F17</f>
        <v>Mamelodi Sundowns</v>
      </c>
      <c r="Q38" s="57">
        <f t="shared" si="94"/>
        <v>3</v>
      </c>
      <c r="R38" s="57">
        <f t="shared" si="95"/>
        <v>1</v>
      </c>
      <c r="S38" s="43">
        <f>COUNTIF(J:J,P38)</f>
        <v>1</v>
      </c>
      <c r="T38" s="43">
        <f>COUNTIF(K:K,P38)+COUNTIF(L:L,P38)</f>
        <v>0</v>
      </c>
      <c r="U38" s="43">
        <f>COUNTIF(M:M,P38)</f>
        <v>0</v>
      </c>
      <c r="V38" s="57">
        <f>SUMIF(E:E,P38,F:F)+SUMIF(I:I,P38,H:H)</f>
        <v>1</v>
      </c>
      <c r="W38" s="57">
        <f>SUMIF(E:E,P38,H:H)+SUMIF(I:I,P38,F:F)</f>
        <v>0</v>
      </c>
      <c r="X38" s="57">
        <f t="shared" si="96"/>
        <v>1</v>
      </c>
      <c r="Y38" s="57">
        <f t="shared" si="97"/>
        <v>0</v>
      </c>
      <c r="Z38" s="57">
        <f t="shared" si="98"/>
        <v>0</v>
      </c>
      <c r="AA38" s="57">
        <f t="shared" si="99"/>
        <v>0</v>
      </c>
      <c r="AB38" s="57">
        <f t="shared" si="100"/>
        <v>0</v>
      </c>
      <c r="AC38" s="58">
        <v>4</v>
      </c>
      <c r="AD38" s="61"/>
      <c r="AE38" s="132">
        <v>4</v>
      </c>
      <c r="AF38" s="84" t="str">
        <f t="shared" si="101"/>
        <v>Ulsan</v>
      </c>
      <c r="AG38" s="92">
        <f t="shared" si="102"/>
        <v>0</v>
      </c>
      <c r="AH38" s="92">
        <f t="shared" si="103"/>
        <v>1</v>
      </c>
      <c r="AI38" s="92">
        <f t="shared" si="104"/>
        <v>0</v>
      </c>
      <c r="AJ38" s="92">
        <f t="shared" si="105"/>
        <v>0</v>
      </c>
      <c r="AK38" s="92">
        <f t="shared" si="106"/>
        <v>1</v>
      </c>
      <c r="AL38" s="92">
        <f t="shared" si="107"/>
        <v>0</v>
      </c>
      <c r="AM38" s="92">
        <f t="shared" si="108"/>
        <v>1</v>
      </c>
      <c r="AN38" s="93">
        <f t="shared" si="109"/>
        <v>-1</v>
      </c>
    </row>
    <row r="39" spans="1:40" x14ac:dyDescent="0.25">
      <c r="A39" s="50"/>
      <c r="B39" s="132" t="s">
        <v>55</v>
      </c>
      <c r="C39" s="80">
        <v>45826</v>
      </c>
      <c r="D39" s="40" t="s">
        <v>16</v>
      </c>
      <c r="E39" s="11" t="str">
        <f>P41</f>
        <v>Manchester City</v>
      </c>
      <c r="F39" s="21">
        <v>2</v>
      </c>
      <c r="G39" s="12" t="s">
        <v>17</v>
      </c>
      <c r="H39" s="21">
        <v>0</v>
      </c>
      <c r="I39" s="13" t="str">
        <f>P42</f>
        <v>Wydad Casablanca</v>
      </c>
      <c r="J39" s="63" t="str">
        <f t="shared" si="89"/>
        <v>Manchester City</v>
      </c>
      <c r="K39" s="64" t="str">
        <f t="shared" si="90"/>
        <v/>
      </c>
      <c r="L39" s="64" t="str">
        <f t="shared" si="91"/>
        <v/>
      </c>
      <c r="M39" s="65" t="str">
        <f t="shared" si="92"/>
        <v>Wydad Casablanca</v>
      </c>
      <c r="N39" s="66"/>
      <c r="O39" s="67"/>
      <c r="P39" s="47" t="s">
        <v>56</v>
      </c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9"/>
      <c r="AE39" s="87" t="s">
        <v>56</v>
      </c>
      <c r="AF39" s="88"/>
      <c r="AG39" s="88"/>
      <c r="AH39" s="88"/>
      <c r="AI39" s="88"/>
      <c r="AJ39" s="88"/>
      <c r="AK39" s="88"/>
      <c r="AL39" s="88"/>
      <c r="AM39" s="88"/>
      <c r="AN39" s="89"/>
    </row>
    <row r="40" spans="1:40" x14ac:dyDescent="0.25">
      <c r="A40" s="50"/>
      <c r="B40" s="132" t="s">
        <v>55</v>
      </c>
      <c r="C40" s="80">
        <v>45826</v>
      </c>
      <c r="D40" s="40" t="s">
        <v>41</v>
      </c>
      <c r="E40" s="11" t="str">
        <f>P43</f>
        <v>Al Ain</v>
      </c>
      <c r="F40" s="21"/>
      <c r="G40" s="12" t="s">
        <v>17</v>
      </c>
      <c r="H40" s="21"/>
      <c r="I40" s="13" t="str">
        <f>P44</f>
        <v>Juventus</v>
      </c>
      <c r="J40" s="42" t="str">
        <f t="shared" si="89"/>
        <v>empate</v>
      </c>
      <c r="K40" s="43" t="str">
        <f t="shared" si="90"/>
        <v/>
      </c>
      <c r="L40" s="43" t="str">
        <f t="shared" si="91"/>
        <v/>
      </c>
      <c r="M40" s="44" t="str">
        <f t="shared" si="92"/>
        <v>empate</v>
      </c>
      <c r="N40" s="51"/>
      <c r="O40" s="52" t="s">
        <v>20</v>
      </c>
      <c r="P40" s="4" t="s">
        <v>21</v>
      </c>
      <c r="Q40" s="43" t="s">
        <v>22</v>
      </c>
      <c r="R40" s="43" t="s">
        <v>23</v>
      </c>
      <c r="S40" s="43" t="s">
        <v>24</v>
      </c>
      <c r="T40" s="43" t="s">
        <v>25</v>
      </c>
      <c r="U40" s="43" t="s">
        <v>26</v>
      </c>
      <c r="V40" s="43" t="s">
        <v>27</v>
      </c>
      <c r="W40" s="43" t="s">
        <v>28</v>
      </c>
      <c r="X40" s="43" t="s">
        <v>29</v>
      </c>
      <c r="Y40" s="43" t="s">
        <v>30</v>
      </c>
      <c r="Z40" s="43" t="s">
        <v>31</v>
      </c>
      <c r="AA40" s="43" t="s">
        <v>32</v>
      </c>
      <c r="AB40" s="43" t="s">
        <v>33</v>
      </c>
      <c r="AC40" s="44" t="s">
        <v>34</v>
      </c>
      <c r="AD40" s="50"/>
      <c r="AE40" s="132" t="s">
        <v>35</v>
      </c>
      <c r="AF40" s="12" t="s">
        <v>68</v>
      </c>
      <c r="AG40" s="12" t="s">
        <v>36</v>
      </c>
      <c r="AH40" s="12" t="s">
        <v>37</v>
      </c>
      <c r="AI40" s="12" t="s">
        <v>38</v>
      </c>
      <c r="AJ40" s="12" t="s">
        <v>39</v>
      </c>
      <c r="AK40" s="12" t="s">
        <v>40</v>
      </c>
      <c r="AL40" s="12" t="s">
        <v>27</v>
      </c>
      <c r="AM40" s="12" t="s">
        <v>28</v>
      </c>
      <c r="AN40" s="1" t="s">
        <v>29</v>
      </c>
    </row>
    <row r="41" spans="1:40" x14ac:dyDescent="0.25">
      <c r="A41" s="50"/>
      <c r="B41" s="132" t="s">
        <v>55</v>
      </c>
      <c r="C41" s="80">
        <v>45830</v>
      </c>
      <c r="D41" s="40" t="s">
        <v>19</v>
      </c>
      <c r="E41" s="11" t="str">
        <f>P41</f>
        <v>Manchester City</v>
      </c>
      <c r="F41" s="21"/>
      <c r="G41" s="12" t="s">
        <v>17</v>
      </c>
      <c r="H41" s="21"/>
      <c r="I41" s="13" t="str">
        <f>P43</f>
        <v>Al Ain</v>
      </c>
      <c r="J41" s="42" t="str">
        <f t="shared" si="89"/>
        <v>empate</v>
      </c>
      <c r="K41" s="43" t="str">
        <f t="shared" si="90"/>
        <v/>
      </c>
      <c r="L41" s="43" t="str">
        <f t="shared" si="91"/>
        <v/>
      </c>
      <c r="M41" s="44" t="str">
        <f t="shared" si="92"/>
        <v>empate</v>
      </c>
      <c r="N41" s="51"/>
      <c r="O41" s="52">
        <f>RANK(Q41,$Q$41:$Q$44)+SUM(Y41:AB41)</f>
        <v>1</v>
      </c>
      <c r="P41" s="53" t="str">
        <f>Sorteios!I14</f>
        <v>Manchester City</v>
      </c>
      <c r="Q41" s="43">
        <f>(S41*3)+(T41*1)</f>
        <v>3</v>
      </c>
      <c r="R41" s="43">
        <f>SUM(S41:U41)</f>
        <v>1</v>
      </c>
      <c r="S41" s="43">
        <f>COUNTIF(J:J,P41)</f>
        <v>1</v>
      </c>
      <c r="T41" s="43">
        <f>COUNTIF(K:K,P41)+COUNTIF(L:L,P41)</f>
        <v>0</v>
      </c>
      <c r="U41" s="43">
        <f>COUNTIF(M:M,P41)</f>
        <v>0</v>
      </c>
      <c r="V41" s="43">
        <f>SUMIF(E:E,P41,F:F)+SUMIF(I:I,P41,H:H)</f>
        <v>2</v>
      </c>
      <c r="W41" s="43">
        <f>SUMIF(E:E,P41,H:H)+SUMIF(I:I,P41,F:F)</f>
        <v>0</v>
      </c>
      <c r="X41" s="43">
        <f>V41-W41</f>
        <v>2</v>
      </c>
      <c r="Y41" s="43">
        <f>SUMPRODUCT(($Q$41:$Q$44=Q41)*($X$41:$X$44&gt;X41))</f>
        <v>0</v>
      </c>
      <c r="Z41" s="43">
        <f>SUMPRODUCT(($Q$41:$Q$44=Q41)*($X$41:$X$44=X41)*($V$41:$V$44&gt;V41))</f>
        <v>0</v>
      </c>
      <c r="AA41" s="43">
        <f>SUMPRODUCT(($Q$41:$Q$44=Q41)*($X$41:$X$44=X41)*($V$41:$V$44=V41)*($W$41:$W$44&gt;W41))</f>
        <v>0</v>
      </c>
      <c r="AB41" s="43">
        <f>SUMPRODUCT(($Q$41:$Q$44=Q41)*($X$41:$X$44=X41)*($V$41:$V$44=V41)*($W$41:$W$44=W41)*($AC$41:$AC$44&lt;AC41))</f>
        <v>0</v>
      </c>
      <c r="AC41" s="44">
        <v>1</v>
      </c>
      <c r="AD41" s="50"/>
      <c r="AE41" s="132">
        <v>1</v>
      </c>
      <c r="AF41" s="83" t="str">
        <f>VLOOKUP($AE41,$O$41:$X$44,2,FALSE)</f>
        <v>Manchester City</v>
      </c>
      <c r="AG41" s="90">
        <f>VLOOKUP($AE41,$O$41:$X$44,3,FALSE)</f>
        <v>3</v>
      </c>
      <c r="AH41" s="90">
        <f>VLOOKUP($AE41,$O$41:$X$44,4,FALSE)</f>
        <v>1</v>
      </c>
      <c r="AI41" s="90">
        <f>VLOOKUP($AE41,$O$41:$X$44,5,FALSE)</f>
        <v>1</v>
      </c>
      <c r="AJ41" s="90">
        <f>VLOOKUP($AE41,$O$41:$X$44,6,FALSE)</f>
        <v>0</v>
      </c>
      <c r="AK41" s="90">
        <f>VLOOKUP($AE41,$O$41:$X$44,7,FALSE)</f>
        <v>0</v>
      </c>
      <c r="AL41" s="90">
        <f>VLOOKUP($AE41,$O$41:$X$44,8,FALSE)</f>
        <v>2</v>
      </c>
      <c r="AM41" s="90">
        <f>VLOOKUP($AE41,$O$41:$X$44,9,FALSE)</f>
        <v>0</v>
      </c>
      <c r="AN41" s="91">
        <f>VLOOKUP($AE41,$O$41:$X$44,10,FALSE)</f>
        <v>2</v>
      </c>
    </row>
    <row r="42" spans="1:40" x14ac:dyDescent="0.25">
      <c r="A42" s="50"/>
      <c r="B42" s="132" t="s">
        <v>55</v>
      </c>
      <c r="C42" s="80">
        <v>45830</v>
      </c>
      <c r="D42" s="40" t="s">
        <v>19</v>
      </c>
      <c r="E42" s="11" t="str">
        <f>P44</f>
        <v>Juventus</v>
      </c>
      <c r="F42" s="21"/>
      <c r="G42" s="12" t="s">
        <v>17</v>
      </c>
      <c r="H42" s="21"/>
      <c r="I42" s="13" t="str">
        <f>P42</f>
        <v>Wydad Casablanca</v>
      </c>
      <c r="J42" s="42" t="str">
        <f t="shared" si="89"/>
        <v>empate</v>
      </c>
      <c r="K42" s="43" t="str">
        <f t="shared" si="90"/>
        <v/>
      </c>
      <c r="L42" s="43" t="str">
        <f t="shared" si="91"/>
        <v/>
      </c>
      <c r="M42" s="44" t="str">
        <f t="shared" si="92"/>
        <v>empate</v>
      </c>
      <c r="N42" s="51"/>
      <c r="O42" s="52">
        <f t="shared" ref="O42:O44" si="110">RANK(Q42,$Q$41:$Q$44)+SUM(Y42:AB42)</f>
        <v>4</v>
      </c>
      <c r="P42" s="53" t="str">
        <f>Sorteios!I15</f>
        <v>Wydad Casablanca</v>
      </c>
      <c r="Q42" s="43">
        <f t="shared" ref="Q42:Q44" si="111">(S42*3)+(T42*1)</f>
        <v>0</v>
      </c>
      <c r="R42" s="43">
        <f t="shared" ref="R42:R44" si="112">SUM(S42:U42)</f>
        <v>1</v>
      </c>
      <c r="S42" s="43">
        <f>COUNTIF(J:J,P42)</f>
        <v>0</v>
      </c>
      <c r="T42" s="43">
        <f>COUNTIF(K:K,P42)+COUNTIF(L:L,P42)</f>
        <v>0</v>
      </c>
      <c r="U42" s="43">
        <f>COUNTIF(M:M,P42)</f>
        <v>1</v>
      </c>
      <c r="V42" s="43">
        <f>SUMIF(E:E,P42,F:F)+SUMIF(I:I,P42,H:H)</f>
        <v>0</v>
      </c>
      <c r="W42" s="43">
        <f>SUMIF(E:E,P42,H:H)+SUMIF(I:I,P42,F:F)</f>
        <v>2</v>
      </c>
      <c r="X42" s="43">
        <f t="shared" ref="X42:X44" si="113">V42-W42</f>
        <v>-2</v>
      </c>
      <c r="Y42" s="43">
        <f t="shared" ref="Y42:Y44" si="114">SUMPRODUCT(($Q$41:$Q$44=Q42)*($X$41:$X$44&gt;X42))</f>
        <v>2</v>
      </c>
      <c r="Z42" s="43">
        <f t="shared" ref="Z42:Z44" si="115">SUMPRODUCT(($Q$41:$Q$44=Q42)*($X$41:$X$44=X42)*($V$41:$V$44&gt;V42))</f>
        <v>0</v>
      </c>
      <c r="AA42" s="43">
        <f t="shared" ref="AA42:AA44" si="116">SUMPRODUCT(($Q$41:$Q$44=Q42)*($X$41:$X$44=X42)*($V$41:$V$44=V42)*($W$41:$W$44&gt;W42))</f>
        <v>0</v>
      </c>
      <c r="AB42" s="43">
        <f t="shared" ref="AB42:AB44" si="117">SUMPRODUCT(($Q$41:$Q$44=Q42)*($X$41:$X$44=X42)*($V$41:$V$44=V42)*($W$41:$W$44=W42)*($AC$41:$AC$44&lt;AC42))</f>
        <v>0</v>
      </c>
      <c r="AC42" s="44">
        <v>2</v>
      </c>
      <c r="AD42" s="50"/>
      <c r="AE42" s="132">
        <v>2</v>
      </c>
      <c r="AF42" s="83" t="str">
        <f t="shared" ref="AF42:AF44" si="118">VLOOKUP($AE42,$O$41:$X$44,2,FALSE)</f>
        <v>Al Ain</v>
      </c>
      <c r="AG42" s="90">
        <f t="shared" ref="AG42:AG44" si="119">VLOOKUP($AE42,$O$41:$X$44,3,FALSE)</f>
        <v>0</v>
      </c>
      <c r="AH42" s="90">
        <f t="shared" ref="AH42:AH44" si="120">VLOOKUP($AE42,$O$41:$X$44,4,FALSE)</f>
        <v>0</v>
      </c>
      <c r="AI42" s="90">
        <f t="shared" ref="AI42:AI44" si="121">VLOOKUP($AE42,$O$41:$X$44,5,FALSE)</f>
        <v>0</v>
      </c>
      <c r="AJ42" s="90">
        <f t="shared" ref="AJ42:AJ44" si="122">VLOOKUP($AE42,$O$41:$X$44,6,FALSE)</f>
        <v>0</v>
      </c>
      <c r="AK42" s="90">
        <f t="shared" ref="AK42:AK44" si="123">VLOOKUP($AE42,$O$41:$X$44,7,FALSE)</f>
        <v>0</v>
      </c>
      <c r="AL42" s="90">
        <f t="shared" ref="AL42:AL44" si="124">VLOOKUP($AE42,$O$41:$X$44,8,FALSE)</f>
        <v>0</v>
      </c>
      <c r="AM42" s="90">
        <f t="shared" ref="AM42:AM44" si="125">VLOOKUP($AE42,$O$41:$X$44,9,FALSE)</f>
        <v>0</v>
      </c>
      <c r="AN42" s="91">
        <f t="shared" ref="AN42:AN44" si="126">VLOOKUP($AE42,$O$41:$X$44,10,FALSE)</f>
        <v>0</v>
      </c>
    </row>
    <row r="43" spans="1:40" x14ac:dyDescent="0.25">
      <c r="A43" s="50"/>
      <c r="B43" s="132" t="s">
        <v>55</v>
      </c>
      <c r="C43" s="80">
        <v>45836</v>
      </c>
      <c r="D43" s="40" t="s">
        <v>41</v>
      </c>
      <c r="E43" s="11" t="str">
        <f>P44</f>
        <v>Juventus</v>
      </c>
      <c r="F43" s="21"/>
      <c r="G43" s="12" t="s">
        <v>17</v>
      </c>
      <c r="H43" s="21"/>
      <c r="I43" s="13" t="str">
        <f>P41</f>
        <v>Manchester City</v>
      </c>
      <c r="J43" s="42" t="str">
        <f t="shared" si="89"/>
        <v>empate</v>
      </c>
      <c r="K43" s="43" t="str">
        <f t="shared" si="90"/>
        <v/>
      </c>
      <c r="L43" s="43" t="str">
        <f t="shared" si="91"/>
        <v/>
      </c>
      <c r="M43" s="44" t="str">
        <f t="shared" si="92"/>
        <v>empate</v>
      </c>
      <c r="N43" s="51"/>
      <c r="O43" s="52">
        <f t="shared" si="110"/>
        <v>2</v>
      </c>
      <c r="P43" s="53" t="str">
        <f>Sorteios!I16</f>
        <v>Al Ain</v>
      </c>
      <c r="Q43" s="43">
        <f t="shared" si="111"/>
        <v>0</v>
      </c>
      <c r="R43" s="43">
        <f t="shared" si="112"/>
        <v>0</v>
      </c>
      <c r="S43" s="43">
        <f>COUNTIF(J:J,P43)</f>
        <v>0</v>
      </c>
      <c r="T43" s="43">
        <f>COUNTIF(K:K,P43)+COUNTIF(L:L,P43)</f>
        <v>0</v>
      </c>
      <c r="U43" s="43">
        <f>COUNTIF(M:M,P43)</f>
        <v>0</v>
      </c>
      <c r="V43" s="43">
        <f>SUMIF(E:E,P43,F:F)+SUMIF(I:I,P43,H:H)</f>
        <v>0</v>
      </c>
      <c r="W43" s="43">
        <f>SUMIF(E:E,P43,H:H)+SUMIF(I:I,P43,F:F)</f>
        <v>0</v>
      </c>
      <c r="X43" s="43">
        <f t="shared" si="113"/>
        <v>0</v>
      </c>
      <c r="Y43" s="43">
        <f t="shared" si="114"/>
        <v>0</v>
      </c>
      <c r="Z43" s="43">
        <f t="shared" si="115"/>
        <v>0</v>
      </c>
      <c r="AA43" s="43">
        <f t="shared" si="116"/>
        <v>0</v>
      </c>
      <c r="AB43" s="43">
        <f t="shared" si="117"/>
        <v>0</v>
      </c>
      <c r="AC43" s="44">
        <v>3</v>
      </c>
      <c r="AD43" s="50"/>
      <c r="AE43" s="132">
        <v>3</v>
      </c>
      <c r="AF43" s="83" t="str">
        <f t="shared" si="118"/>
        <v>Juventus</v>
      </c>
      <c r="AG43" s="90">
        <f t="shared" si="119"/>
        <v>0</v>
      </c>
      <c r="AH43" s="90">
        <f t="shared" si="120"/>
        <v>0</v>
      </c>
      <c r="AI43" s="90">
        <f t="shared" si="121"/>
        <v>0</v>
      </c>
      <c r="AJ43" s="90">
        <f t="shared" si="122"/>
        <v>0</v>
      </c>
      <c r="AK43" s="90">
        <f t="shared" si="123"/>
        <v>0</v>
      </c>
      <c r="AL43" s="90">
        <f t="shared" si="124"/>
        <v>0</v>
      </c>
      <c r="AM43" s="90">
        <f t="shared" si="125"/>
        <v>0</v>
      </c>
      <c r="AN43" s="91">
        <f t="shared" si="126"/>
        <v>0</v>
      </c>
    </row>
    <row r="44" spans="1:40" ht="15.75" thickBot="1" x14ac:dyDescent="0.3">
      <c r="A44" s="50"/>
      <c r="B44" s="133" t="s">
        <v>55</v>
      </c>
      <c r="C44" s="81">
        <v>45836</v>
      </c>
      <c r="D44" s="54" t="s">
        <v>41</v>
      </c>
      <c r="E44" s="15" t="str">
        <f>P42</f>
        <v>Wydad Casablanca</v>
      </c>
      <c r="F44" s="22"/>
      <c r="G44" s="16" t="s">
        <v>17</v>
      </c>
      <c r="H44" s="22"/>
      <c r="I44" s="17" t="str">
        <f>P43</f>
        <v>Al Ain</v>
      </c>
      <c r="J44" s="56" t="str">
        <f t="shared" si="89"/>
        <v>empate</v>
      </c>
      <c r="K44" s="57" t="str">
        <f t="shared" si="90"/>
        <v/>
      </c>
      <c r="L44" s="57" t="str">
        <f t="shared" si="91"/>
        <v/>
      </c>
      <c r="M44" s="58" t="str">
        <f t="shared" si="92"/>
        <v>empate</v>
      </c>
      <c r="N44" s="59"/>
      <c r="O44" s="60">
        <f t="shared" si="110"/>
        <v>3</v>
      </c>
      <c r="P44" s="53" t="str">
        <f>Sorteios!I17</f>
        <v>Juventus</v>
      </c>
      <c r="Q44" s="57">
        <f t="shared" si="111"/>
        <v>0</v>
      </c>
      <c r="R44" s="57">
        <f t="shared" si="112"/>
        <v>0</v>
      </c>
      <c r="S44" s="43">
        <f>COUNTIF(J:J,P44)</f>
        <v>0</v>
      </c>
      <c r="T44" s="43">
        <f>COUNTIF(K:K,P44)+COUNTIF(L:L,P44)</f>
        <v>0</v>
      </c>
      <c r="U44" s="43">
        <f>COUNTIF(M:M,P44)</f>
        <v>0</v>
      </c>
      <c r="V44" s="57">
        <f>SUMIF(E:E,P44,F:F)+SUMIF(I:I,P44,H:H)</f>
        <v>0</v>
      </c>
      <c r="W44" s="57">
        <f>SUMIF(E:E,P44,H:H)+SUMIF(I:I,P44,F:F)</f>
        <v>0</v>
      </c>
      <c r="X44" s="57">
        <f t="shared" si="113"/>
        <v>0</v>
      </c>
      <c r="Y44" s="57">
        <f t="shared" si="114"/>
        <v>0</v>
      </c>
      <c r="Z44" s="57">
        <f t="shared" si="115"/>
        <v>0</v>
      </c>
      <c r="AA44" s="57">
        <f t="shared" si="116"/>
        <v>0</v>
      </c>
      <c r="AB44" s="57">
        <f t="shared" si="117"/>
        <v>1</v>
      </c>
      <c r="AC44" s="58">
        <v>4</v>
      </c>
      <c r="AD44" s="61"/>
      <c r="AE44" s="132">
        <v>4</v>
      </c>
      <c r="AF44" s="84" t="str">
        <f t="shared" si="118"/>
        <v>Wydad Casablanca</v>
      </c>
      <c r="AG44" s="92">
        <f t="shared" si="119"/>
        <v>0</v>
      </c>
      <c r="AH44" s="92">
        <f t="shared" si="120"/>
        <v>1</v>
      </c>
      <c r="AI44" s="92">
        <f t="shared" si="121"/>
        <v>0</v>
      </c>
      <c r="AJ44" s="92">
        <f t="shared" si="122"/>
        <v>0</v>
      </c>
      <c r="AK44" s="92">
        <f t="shared" si="123"/>
        <v>1</v>
      </c>
      <c r="AL44" s="92">
        <f t="shared" si="124"/>
        <v>0</v>
      </c>
      <c r="AM44" s="92">
        <f t="shared" si="125"/>
        <v>2</v>
      </c>
      <c r="AN44" s="93">
        <f t="shared" si="126"/>
        <v>-2</v>
      </c>
    </row>
    <row r="45" spans="1:40" x14ac:dyDescent="0.25">
      <c r="A45" s="50"/>
      <c r="B45" s="134" t="s">
        <v>57</v>
      </c>
      <c r="C45" s="18">
        <v>45826</v>
      </c>
      <c r="D45" s="62" t="s">
        <v>16</v>
      </c>
      <c r="E45" s="82" t="str">
        <f>P47</f>
        <v>Real Madrid</v>
      </c>
      <c r="F45" s="21">
        <v>1</v>
      </c>
      <c r="G45" s="99" t="s">
        <v>17</v>
      </c>
      <c r="H45" s="21">
        <v>1</v>
      </c>
      <c r="I45" s="85" t="str">
        <f>P48</f>
        <v>Al-Hilal</v>
      </c>
      <c r="J45" s="63" t="str">
        <f t="shared" si="89"/>
        <v>empate</v>
      </c>
      <c r="K45" s="64" t="str">
        <f t="shared" si="90"/>
        <v>Real Madrid</v>
      </c>
      <c r="L45" s="64" t="str">
        <f t="shared" si="91"/>
        <v>Al-Hilal</v>
      </c>
      <c r="M45" s="65" t="str">
        <f t="shared" si="92"/>
        <v>empate</v>
      </c>
      <c r="N45" s="69"/>
      <c r="O45" s="67"/>
      <c r="P45" s="47" t="s">
        <v>58</v>
      </c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9"/>
      <c r="AE45" s="87" t="s">
        <v>58</v>
      </c>
      <c r="AF45" s="88"/>
      <c r="AG45" s="88"/>
      <c r="AH45" s="88"/>
      <c r="AI45" s="88"/>
      <c r="AJ45" s="88"/>
      <c r="AK45" s="88"/>
      <c r="AL45" s="88"/>
      <c r="AM45" s="88"/>
      <c r="AN45" s="89"/>
    </row>
    <row r="46" spans="1:40" x14ac:dyDescent="0.25">
      <c r="A46" s="50"/>
      <c r="B46" s="132" t="s">
        <v>57</v>
      </c>
      <c r="C46" s="10">
        <v>45826</v>
      </c>
      <c r="D46" s="41" t="s">
        <v>19</v>
      </c>
      <c r="E46" s="83" t="str">
        <f>P49</f>
        <v>Pachuca</v>
      </c>
      <c r="F46" s="21">
        <v>1</v>
      </c>
      <c r="G46" s="90" t="s">
        <v>17</v>
      </c>
      <c r="H46" s="21">
        <v>2</v>
      </c>
      <c r="I46" s="26" t="str">
        <f>P50</f>
        <v>Red Bull Salzburg</v>
      </c>
      <c r="J46" s="42" t="str">
        <f t="shared" si="89"/>
        <v>Red Bull Salzburg</v>
      </c>
      <c r="K46" s="43" t="str">
        <f t="shared" si="90"/>
        <v/>
      </c>
      <c r="L46" s="43" t="str">
        <f t="shared" si="91"/>
        <v/>
      </c>
      <c r="M46" s="44" t="str">
        <f t="shared" si="92"/>
        <v>Pachuca</v>
      </c>
      <c r="N46" s="50"/>
      <c r="O46" s="52" t="s">
        <v>20</v>
      </c>
      <c r="P46" s="4" t="s">
        <v>21</v>
      </c>
      <c r="Q46" s="43" t="s">
        <v>22</v>
      </c>
      <c r="R46" s="43" t="s">
        <v>23</v>
      </c>
      <c r="S46" s="43" t="s">
        <v>24</v>
      </c>
      <c r="T46" s="43" t="s">
        <v>25</v>
      </c>
      <c r="U46" s="43" t="s">
        <v>26</v>
      </c>
      <c r="V46" s="43" t="s">
        <v>27</v>
      </c>
      <c r="W46" s="43" t="s">
        <v>28</v>
      </c>
      <c r="X46" s="43" t="s">
        <v>29</v>
      </c>
      <c r="Y46" s="43" t="s">
        <v>30</v>
      </c>
      <c r="Z46" s="43" t="s">
        <v>31</v>
      </c>
      <c r="AA46" s="43" t="s">
        <v>32</v>
      </c>
      <c r="AB46" s="43" t="s">
        <v>33</v>
      </c>
      <c r="AC46" s="44" t="s">
        <v>34</v>
      </c>
      <c r="AD46" s="50"/>
      <c r="AE46" s="132" t="s">
        <v>35</v>
      </c>
      <c r="AF46" s="12" t="s">
        <v>68</v>
      </c>
      <c r="AG46" s="12" t="s">
        <v>36</v>
      </c>
      <c r="AH46" s="12" t="s">
        <v>37</v>
      </c>
      <c r="AI46" s="12" t="s">
        <v>38</v>
      </c>
      <c r="AJ46" s="12" t="s">
        <v>39</v>
      </c>
      <c r="AK46" s="12" t="s">
        <v>40</v>
      </c>
      <c r="AL46" s="12" t="s">
        <v>27</v>
      </c>
      <c r="AM46" s="12" t="s">
        <v>28</v>
      </c>
      <c r="AN46" s="1" t="s">
        <v>29</v>
      </c>
    </row>
    <row r="47" spans="1:40" x14ac:dyDescent="0.25">
      <c r="A47" s="50"/>
      <c r="B47" s="132" t="s">
        <v>57</v>
      </c>
      <c r="C47" s="10">
        <v>45830</v>
      </c>
      <c r="D47" s="41" t="s">
        <v>41</v>
      </c>
      <c r="E47" s="83" t="str">
        <f>P47</f>
        <v>Real Madrid</v>
      </c>
      <c r="F47" s="21"/>
      <c r="G47" s="90" t="s">
        <v>17</v>
      </c>
      <c r="H47" s="21"/>
      <c r="I47" s="26" t="str">
        <f>P49</f>
        <v>Pachuca</v>
      </c>
      <c r="J47" s="42" t="str">
        <f t="shared" si="89"/>
        <v>empate</v>
      </c>
      <c r="K47" s="43" t="str">
        <f t="shared" si="90"/>
        <v/>
      </c>
      <c r="L47" s="43" t="str">
        <f t="shared" si="91"/>
        <v/>
      </c>
      <c r="M47" s="44" t="str">
        <f t="shared" si="92"/>
        <v>empate</v>
      </c>
      <c r="N47" s="50"/>
      <c r="O47" s="52">
        <f>RANK(Q47,$Q$47:$Q$50)+SUM(Y47:AB47)</f>
        <v>2</v>
      </c>
      <c r="P47" s="53" t="str">
        <f>Sorteios!L14</f>
        <v>Real Madrid</v>
      </c>
      <c r="Q47" s="43">
        <f>(S47*3)+(T47*1)</f>
        <v>1</v>
      </c>
      <c r="R47" s="43">
        <f>SUM(S47:U47)</f>
        <v>1</v>
      </c>
      <c r="S47" s="43">
        <f>COUNTIF(J:J,P47)</f>
        <v>0</v>
      </c>
      <c r="T47" s="43">
        <f>COUNTIF(K:K,P47)+COUNTIF(L:L,P47)</f>
        <v>1</v>
      </c>
      <c r="U47" s="43">
        <f>COUNTIF(M:M,P47)</f>
        <v>0</v>
      </c>
      <c r="V47" s="43">
        <f>SUMIF(E:E,P47,F:F)+SUMIF(I:I,P47,H:H)</f>
        <v>1</v>
      </c>
      <c r="W47" s="43">
        <f>SUMIF(E:E,P47,H:H)+SUMIF(I:I,P47,F:F)</f>
        <v>1</v>
      </c>
      <c r="X47" s="43">
        <f>V47-W47</f>
        <v>0</v>
      </c>
      <c r="Y47" s="43">
        <f>SUMPRODUCT(($Q$47:$Q$50=Q47)*($X$47:$X$50&gt;X47))</f>
        <v>0</v>
      </c>
      <c r="Z47" s="43">
        <f>SUMPRODUCT(($Q$47:$Q$50=Q47)*($X$47:$X$50=X47)*($V$47:$V$50&gt;V47))</f>
        <v>0</v>
      </c>
      <c r="AA47" s="43">
        <f>SUMPRODUCT(($Q$47:$Q$50=Q47)*($X$47:$X$50=X47)*($V$47:$V$50=V47)*($W$47:$W$50&gt;W47))</f>
        <v>0</v>
      </c>
      <c r="AB47" s="43">
        <f>SUMPRODUCT(($Q$47:$Q$50=Q47)*($X$47:$X$50=X47)*($V$47:$V$50=V47)*($W$47:$W$50=W47)*($AC$47:$AC$50&lt;AC47))</f>
        <v>0</v>
      </c>
      <c r="AC47" s="44">
        <v>1</v>
      </c>
      <c r="AD47" s="50"/>
      <c r="AE47" s="132">
        <v>1</v>
      </c>
      <c r="AF47" s="83" t="str">
        <f>VLOOKUP($AE47,$O$47:$X$50,2,FALSE)</f>
        <v>Red Bull Salzburg</v>
      </c>
      <c r="AG47" s="90">
        <f>VLOOKUP($AE47,$O$47:$X$50,3,FALSE)</f>
        <v>3</v>
      </c>
      <c r="AH47" s="90">
        <f>VLOOKUP($AE47,$O$47:$X$50,4,FALSE)</f>
        <v>1</v>
      </c>
      <c r="AI47" s="90">
        <f>VLOOKUP($AE47,$O$47:$X$50,5,FALSE)</f>
        <v>1</v>
      </c>
      <c r="AJ47" s="90">
        <f>VLOOKUP($AE47,$O$47:$X$50,6,FALSE)</f>
        <v>0</v>
      </c>
      <c r="AK47" s="90">
        <f>VLOOKUP($AE47,$O$47:$X$50,7,FALSE)</f>
        <v>0</v>
      </c>
      <c r="AL47" s="90">
        <f>VLOOKUP($AE47,$O$47:$X$50,8,FALSE)</f>
        <v>2</v>
      </c>
      <c r="AM47" s="90">
        <f>VLOOKUP($AE47,$O$47:$X$50,9,FALSE)</f>
        <v>1</v>
      </c>
      <c r="AN47" s="91">
        <f>VLOOKUP($AE47,$O$47:$X$50,10,FALSE)</f>
        <v>1</v>
      </c>
    </row>
    <row r="48" spans="1:40" x14ac:dyDescent="0.25">
      <c r="A48" s="50"/>
      <c r="B48" s="132" t="s">
        <v>57</v>
      </c>
      <c r="C48" s="10">
        <v>45830</v>
      </c>
      <c r="D48" s="41" t="s">
        <v>16</v>
      </c>
      <c r="E48" s="83" t="str">
        <f>P50</f>
        <v>Red Bull Salzburg</v>
      </c>
      <c r="F48" s="21"/>
      <c r="G48" s="90" t="s">
        <v>17</v>
      </c>
      <c r="H48" s="21"/>
      <c r="I48" s="26" t="str">
        <f>P48</f>
        <v>Al-Hilal</v>
      </c>
      <c r="J48" s="42" t="str">
        <f t="shared" si="89"/>
        <v>empate</v>
      </c>
      <c r="K48" s="43" t="str">
        <f t="shared" si="90"/>
        <v/>
      </c>
      <c r="L48" s="43" t="str">
        <f t="shared" si="91"/>
        <v/>
      </c>
      <c r="M48" s="44" t="str">
        <f t="shared" si="92"/>
        <v>empate</v>
      </c>
      <c r="N48" s="50"/>
      <c r="O48" s="52">
        <f>RANK(Q48,$Q$47:$Q$50)+SUM(Y48:AB48)</f>
        <v>3</v>
      </c>
      <c r="P48" s="53" t="str">
        <f>Sorteios!L15</f>
        <v>Al-Hilal</v>
      </c>
      <c r="Q48" s="43">
        <f t="shared" ref="Q48:Q50" si="127">(S48*3)+(T48*1)</f>
        <v>1</v>
      </c>
      <c r="R48" s="43">
        <f t="shared" ref="R48:R50" si="128">SUM(S48:U48)</f>
        <v>1</v>
      </c>
      <c r="S48" s="43">
        <f>COUNTIF(J:J,P48)</f>
        <v>0</v>
      </c>
      <c r="T48" s="43">
        <f>COUNTIF(K:K,P48)+COUNTIF(L:L,P48)</f>
        <v>1</v>
      </c>
      <c r="U48" s="43">
        <f>COUNTIF(M:M,P48)</f>
        <v>0</v>
      </c>
      <c r="V48" s="43">
        <f>SUMIF(E:E,P48,F:F)+SUMIF(I:I,P48,H:H)</f>
        <v>1</v>
      </c>
      <c r="W48" s="43">
        <f>SUMIF(E:E,P48,H:H)+SUMIF(I:I,P48,F:F)</f>
        <v>1</v>
      </c>
      <c r="X48" s="43">
        <f t="shared" ref="X48:X50" si="129">V48-W48</f>
        <v>0</v>
      </c>
      <c r="Y48" s="43">
        <f t="shared" ref="Y48:Y50" si="130">SUMPRODUCT(($Q$47:$Q$50=Q48)*($X$47:$X$50&gt;X48))</f>
        <v>0</v>
      </c>
      <c r="Z48" s="43">
        <f t="shared" ref="Z48:Z50" si="131">SUMPRODUCT(($Q$47:$Q$50=Q48)*($X$47:$X$50=X48)*($V$47:$V$50&gt;V48))</f>
        <v>0</v>
      </c>
      <c r="AA48" s="43">
        <f t="shared" ref="AA48:AA50" si="132">SUMPRODUCT(($Q$47:$Q$50=Q48)*($X$47:$X$50=X48)*($V$47:$V$50=V48)*($W$47:$W$50&gt;W48))</f>
        <v>0</v>
      </c>
      <c r="AB48" s="43">
        <f t="shared" ref="AB48:AB50" si="133">SUMPRODUCT(($Q$47:$Q$50=Q48)*($X$47:$X$50=X48)*($V$47:$V$50=V48)*($W$47:$W$50=W48)*($AC$47:$AC$50&lt;AC48))</f>
        <v>1</v>
      </c>
      <c r="AC48" s="44">
        <v>2</v>
      </c>
      <c r="AD48" s="50"/>
      <c r="AE48" s="132">
        <v>2</v>
      </c>
      <c r="AF48" s="83" t="str">
        <f t="shared" ref="AF48:AF50" si="134">VLOOKUP($AE48,$O$47:$X$50,2,FALSE)</f>
        <v>Real Madrid</v>
      </c>
      <c r="AG48" s="90">
        <f t="shared" ref="AG48:AG50" si="135">VLOOKUP($AE48,$O$47:$X$50,3,FALSE)</f>
        <v>1</v>
      </c>
      <c r="AH48" s="90">
        <f t="shared" ref="AH48:AH50" si="136">VLOOKUP($AE48,$O$47:$X$50,4,FALSE)</f>
        <v>1</v>
      </c>
      <c r="AI48" s="90">
        <f t="shared" ref="AI48:AI50" si="137">VLOOKUP($AE48,$O$47:$X$50,5,FALSE)</f>
        <v>0</v>
      </c>
      <c r="AJ48" s="90">
        <f t="shared" ref="AJ48:AJ50" si="138">VLOOKUP($AE48,$O$47:$X$50,6,FALSE)</f>
        <v>1</v>
      </c>
      <c r="AK48" s="90">
        <f t="shared" ref="AK48:AK50" si="139">VLOOKUP($AE48,$O$47:$X$50,7,FALSE)</f>
        <v>0</v>
      </c>
      <c r="AL48" s="90">
        <f t="shared" ref="AL48:AL50" si="140">VLOOKUP($AE48,$O$47:$X$50,8,FALSE)</f>
        <v>1</v>
      </c>
      <c r="AM48" s="90">
        <f t="shared" ref="AM48:AM50" si="141">VLOOKUP($AE48,$O$47:$X$50,9,FALSE)</f>
        <v>1</v>
      </c>
      <c r="AN48" s="91">
        <f t="shared" ref="AN48:AN50" si="142">VLOOKUP($AE48,$O$47:$X$50,10,FALSE)</f>
        <v>0</v>
      </c>
    </row>
    <row r="49" spans="1:40" x14ac:dyDescent="0.25">
      <c r="A49" s="50"/>
      <c r="B49" s="132" t="s">
        <v>57</v>
      </c>
      <c r="C49" s="10">
        <v>45833</v>
      </c>
      <c r="D49" s="41" t="s">
        <v>42</v>
      </c>
      <c r="E49" s="83" t="str">
        <f>P50</f>
        <v>Red Bull Salzburg</v>
      </c>
      <c r="F49" s="21"/>
      <c r="G49" s="90" t="s">
        <v>17</v>
      </c>
      <c r="H49" s="21"/>
      <c r="I49" s="26" t="str">
        <f>P47</f>
        <v>Real Madrid</v>
      </c>
      <c r="J49" s="42" t="str">
        <f t="shared" si="89"/>
        <v>empate</v>
      </c>
      <c r="K49" s="43" t="str">
        <f t="shared" si="90"/>
        <v/>
      </c>
      <c r="L49" s="43" t="str">
        <f t="shared" si="91"/>
        <v/>
      </c>
      <c r="M49" s="44" t="str">
        <f t="shared" si="92"/>
        <v>empate</v>
      </c>
      <c r="N49" s="50"/>
      <c r="O49" s="52">
        <f t="shared" ref="O49:O50" si="143">RANK(Q49,$Q$47:$Q$50)+SUM(Y49:AB49)</f>
        <v>4</v>
      </c>
      <c r="P49" s="53" t="str">
        <f>Sorteios!L16</f>
        <v>Pachuca</v>
      </c>
      <c r="Q49" s="43">
        <f t="shared" si="127"/>
        <v>0</v>
      </c>
      <c r="R49" s="43">
        <f t="shared" si="128"/>
        <v>1</v>
      </c>
      <c r="S49" s="43">
        <f>COUNTIF(J:J,P49)</f>
        <v>0</v>
      </c>
      <c r="T49" s="43">
        <f>COUNTIF(K:K,P49)+COUNTIF(L:L,P49)</f>
        <v>0</v>
      </c>
      <c r="U49" s="43">
        <f>COUNTIF(M:M,P49)</f>
        <v>1</v>
      </c>
      <c r="V49" s="43">
        <f>SUMIF(E:E,P49,F:F)+SUMIF(I:I,P49,H:H)</f>
        <v>1</v>
      </c>
      <c r="W49" s="43">
        <f>SUMIF(E:E,P49,H:H)+SUMIF(I:I,P49,F:F)</f>
        <v>2</v>
      </c>
      <c r="X49" s="43">
        <f t="shared" si="129"/>
        <v>-1</v>
      </c>
      <c r="Y49" s="43">
        <f t="shared" si="130"/>
        <v>0</v>
      </c>
      <c r="Z49" s="43">
        <f t="shared" si="131"/>
        <v>0</v>
      </c>
      <c r="AA49" s="43">
        <f t="shared" si="132"/>
        <v>0</v>
      </c>
      <c r="AB49" s="43">
        <f t="shared" si="133"/>
        <v>0</v>
      </c>
      <c r="AC49" s="44">
        <v>3</v>
      </c>
      <c r="AD49" s="50"/>
      <c r="AE49" s="132">
        <v>3</v>
      </c>
      <c r="AF49" s="83" t="str">
        <f t="shared" si="134"/>
        <v>Al-Hilal</v>
      </c>
      <c r="AG49" s="90">
        <f t="shared" si="135"/>
        <v>1</v>
      </c>
      <c r="AH49" s="90">
        <f t="shared" si="136"/>
        <v>1</v>
      </c>
      <c r="AI49" s="90">
        <f t="shared" si="137"/>
        <v>0</v>
      </c>
      <c r="AJ49" s="90">
        <f t="shared" si="138"/>
        <v>1</v>
      </c>
      <c r="AK49" s="90">
        <f t="shared" si="139"/>
        <v>0</v>
      </c>
      <c r="AL49" s="90">
        <f t="shared" si="140"/>
        <v>1</v>
      </c>
      <c r="AM49" s="90">
        <f t="shared" si="141"/>
        <v>1</v>
      </c>
      <c r="AN49" s="91">
        <f t="shared" si="142"/>
        <v>0</v>
      </c>
    </row>
    <row r="50" spans="1:40" ht="15.75" thickBot="1" x14ac:dyDescent="0.3">
      <c r="A50" s="50"/>
      <c r="B50" s="133" t="s">
        <v>57</v>
      </c>
      <c r="C50" s="14">
        <v>45833</v>
      </c>
      <c r="D50" s="55" t="s">
        <v>42</v>
      </c>
      <c r="E50" s="84" t="str">
        <f>P48</f>
        <v>Al-Hilal</v>
      </c>
      <c r="F50" s="22"/>
      <c r="G50" s="92" t="s">
        <v>17</v>
      </c>
      <c r="H50" s="22"/>
      <c r="I50" s="27" t="str">
        <f>P49</f>
        <v>Pachuca</v>
      </c>
      <c r="J50" s="70" t="str">
        <f t="shared" si="89"/>
        <v>empate</v>
      </c>
      <c r="K50" s="71" t="str">
        <f t="shared" si="90"/>
        <v/>
      </c>
      <c r="L50" s="71" t="str">
        <f t="shared" si="91"/>
        <v/>
      </c>
      <c r="M50" s="72" t="str">
        <f t="shared" si="92"/>
        <v>empate</v>
      </c>
      <c r="N50" s="50"/>
      <c r="O50" s="73">
        <f t="shared" si="143"/>
        <v>1</v>
      </c>
      <c r="P50" s="53" t="str">
        <f>Sorteios!L17</f>
        <v>Red Bull Salzburg</v>
      </c>
      <c r="Q50" s="57">
        <f t="shared" si="127"/>
        <v>3</v>
      </c>
      <c r="R50" s="57">
        <f t="shared" si="128"/>
        <v>1</v>
      </c>
      <c r="S50" s="43">
        <f>COUNTIF(J:J,P50)</f>
        <v>1</v>
      </c>
      <c r="T50" s="43">
        <f>COUNTIF(K:K,P50)+COUNTIF(L:L,P50)</f>
        <v>0</v>
      </c>
      <c r="U50" s="43">
        <f>COUNTIF(M:M,P50)</f>
        <v>0</v>
      </c>
      <c r="V50" s="57">
        <f>SUMIF(E:E,P50,F:F)+SUMIF(I:I,P50,H:H)</f>
        <v>2</v>
      </c>
      <c r="W50" s="57">
        <f>SUMIF(E:E,P50,H:H)+SUMIF(I:I,P50,F:F)</f>
        <v>1</v>
      </c>
      <c r="X50" s="57">
        <f t="shared" si="129"/>
        <v>1</v>
      </c>
      <c r="Y50" s="57">
        <f t="shared" si="130"/>
        <v>0</v>
      </c>
      <c r="Z50" s="57">
        <f t="shared" si="131"/>
        <v>0</v>
      </c>
      <c r="AA50" s="57">
        <f t="shared" si="132"/>
        <v>0</v>
      </c>
      <c r="AB50" s="57">
        <f t="shared" si="133"/>
        <v>0</v>
      </c>
      <c r="AC50" s="58">
        <v>4</v>
      </c>
      <c r="AD50" s="61"/>
      <c r="AE50" s="132">
        <v>4</v>
      </c>
      <c r="AF50" s="84" t="str">
        <f t="shared" si="134"/>
        <v>Pachuca</v>
      </c>
      <c r="AG50" s="92">
        <f t="shared" si="135"/>
        <v>0</v>
      </c>
      <c r="AH50" s="92">
        <f t="shared" si="136"/>
        <v>1</v>
      </c>
      <c r="AI50" s="92">
        <f t="shared" si="137"/>
        <v>0</v>
      </c>
      <c r="AJ50" s="92">
        <f t="shared" si="138"/>
        <v>0</v>
      </c>
      <c r="AK50" s="92">
        <f t="shared" si="139"/>
        <v>1</v>
      </c>
      <c r="AL50" s="92">
        <f t="shared" si="140"/>
        <v>1</v>
      </c>
      <c r="AM50" s="92">
        <f t="shared" si="141"/>
        <v>2</v>
      </c>
      <c r="AN50" s="93">
        <f t="shared" si="142"/>
        <v>-1</v>
      </c>
    </row>
  </sheetData>
  <sheetProtection password="CC01" sheet="1" objects="1" scenarios="1" selectLockedCells="1"/>
  <mergeCells count="1">
    <mergeCell ref="F2:H2"/>
  </mergeCells>
  <conditionalFormatting sqref="AF5">
    <cfRule type="expression" dxfId="51" priority="252">
      <formula>AH5=3</formula>
    </cfRule>
  </conditionalFormatting>
  <conditionalFormatting sqref="AF6">
    <cfRule type="expression" dxfId="50" priority="251">
      <formula>AH6=3</formula>
    </cfRule>
  </conditionalFormatting>
  <conditionalFormatting sqref="AF5">
    <cfRule type="expression" dxfId="49" priority="250">
      <formula>AH5=3</formula>
    </cfRule>
  </conditionalFormatting>
  <conditionalFormatting sqref="AF6">
    <cfRule type="expression" dxfId="48" priority="249">
      <formula>AH6=3</formula>
    </cfRule>
  </conditionalFormatting>
  <conditionalFormatting sqref="AF5">
    <cfRule type="expression" dxfId="47" priority="248">
      <formula>AH5=3</formula>
    </cfRule>
  </conditionalFormatting>
  <conditionalFormatting sqref="AF6">
    <cfRule type="expression" dxfId="46" priority="247">
      <formula>AH6=3</formula>
    </cfRule>
  </conditionalFormatting>
  <conditionalFormatting sqref="AF12 AF18 AF24 AF30 AF36 AF42 AF48">
    <cfRule type="expression" dxfId="45" priority="21">
      <formula>AH12=3</formula>
    </cfRule>
  </conditionalFormatting>
  <conditionalFormatting sqref="AF11 AF17 AF23 AF29 AF35 AF41 AF47">
    <cfRule type="expression" dxfId="44" priority="20">
      <formula>AH11=3</formula>
    </cfRule>
  </conditionalFormatting>
  <conditionalFormatting sqref="AF12 AF18 AF24 AF30 AF36 AF42 AF48">
    <cfRule type="expression" dxfId="43" priority="19">
      <formula>AH12=3</formula>
    </cfRule>
  </conditionalFormatting>
  <conditionalFormatting sqref="AF11 AF17 AF23 AF29 AF35 AF41 AF47">
    <cfRule type="expression" dxfId="42" priority="18">
      <formula>AH11=3</formula>
    </cfRule>
  </conditionalFormatting>
  <conditionalFormatting sqref="AF12 AF18 AF24 AF30 AF36 AF42 AF48">
    <cfRule type="expression" dxfId="41" priority="17">
      <formula>AH12=3</formula>
    </cfRule>
  </conditionalFormatting>
  <conditionalFormatting sqref="AE5">
    <cfRule type="expression" dxfId="40" priority="9">
      <formula>$AH5=3</formula>
    </cfRule>
  </conditionalFormatting>
  <conditionalFormatting sqref="AE6">
    <cfRule type="expression" dxfId="39" priority="8">
      <formula>$AH6=3</formula>
    </cfRule>
  </conditionalFormatting>
  <conditionalFormatting sqref="AE11:AE12">
    <cfRule type="expression" dxfId="38" priority="7">
      <formula>$AH11=3</formula>
    </cfRule>
  </conditionalFormatting>
  <conditionalFormatting sqref="AE17:AE18">
    <cfRule type="expression" dxfId="37" priority="6">
      <formula>$AH17=3</formula>
    </cfRule>
  </conditionalFormatting>
  <conditionalFormatting sqref="AE23:AE24">
    <cfRule type="expression" dxfId="36" priority="5">
      <formula>$AH23=3</formula>
    </cfRule>
  </conditionalFormatting>
  <conditionalFormatting sqref="AE29:AE30">
    <cfRule type="expression" dxfId="35" priority="4">
      <formula>$AH29=3</formula>
    </cfRule>
  </conditionalFormatting>
  <conditionalFormatting sqref="AE35:AE36">
    <cfRule type="expression" dxfId="34" priority="3">
      <formula>$AH35=3</formula>
    </cfRule>
  </conditionalFormatting>
  <conditionalFormatting sqref="AE41:AE42">
    <cfRule type="expression" dxfId="33" priority="2">
      <formula>$AH41=3</formula>
    </cfRule>
  </conditionalFormatting>
  <conditionalFormatting sqref="AE47:AE48">
    <cfRule type="expression" dxfId="32" priority="1">
      <formula>$AH47=3</formula>
    </cfRule>
  </conditionalFormatting>
  <dataValidations count="1">
    <dataValidation type="whole" errorStyle="warning" operator="greaterThanOrEqual" allowBlank="1" showErrorMessage="1" errorTitle="Erro de Placar" error="Digite apenas números para o placar dos jogos." promptTitle="Placar" prompt="Digite o placar dos jogos." sqref="F3:F50 H3:H50" xr:uid="{F6029BFF-A767-4D23-9760-8FA18F7F8FA4}">
      <formula1>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54D63-DE8A-4C85-9821-2A3779E27309}">
  <dimension ref="A1:Q58"/>
  <sheetViews>
    <sheetView showRowColHeaders="0" workbookViewId="0">
      <selection activeCell="G6" sqref="G6"/>
    </sheetView>
  </sheetViews>
  <sheetFormatPr defaultRowHeight="15" x14ac:dyDescent="0.25"/>
  <cols>
    <col min="1" max="1" width="3.7109375" style="50" customWidth="1"/>
    <col min="2" max="2" width="4.7109375" style="39" customWidth="1"/>
    <col min="3" max="3" width="9.7109375" style="39" customWidth="1"/>
    <col min="4" max="4" width="6.85546875" style="39" hidden="1" customWidth="1"/>
    <col min="5" max="5" width="22.7109375" style="117" customWidth="1"/>
    <col min="6" max="6" width="2.7109375" style="39" customWidth="1"/>
    <col min="7" max="7" width="3.7109375" style="39" customWidth="1"/>
    <col min="8" max="8" width="2.7109375" style="39" customWidth="1"/>
    <col min="9" max="9" width="3.7109375" style="39" customWidth="1"/>
    <col min="10" max="10" width="2.7109375" style="39" customWidth="1"/>
    <col min="11" max="11" width="22.7109375" style="118" customWidth="1"/>
    <col min="12" max="12" width="3.140625" style="114" hidden="1" customWidth="1"/>
    <col min="13" max="13" width="14.140625" style="115" hidden="1" customWidth="1"/>
    <col min="14" max="17" width="9.140625" style="115"/>
    <col min="18" max="16384" width="9.140625" style="29"/>
  </cols>
  <sheetData>
    <row r="1" spans="1:17" ht="22.5" x14ac:dyDescent="0.3">
      <c r="A1" s="108"/>
      <c r="B1" s="28" t="s">
        <v>107</v>
      </c>
      <c r="C1" s="28"/>
      <c r="D1" s="28"/>
      <c r="E1" s="28"/>
      <c r="F1" s="28"/>
      <c r="G1" s="28"/>
      <c r="H1" s="28"/>
      <c r="I1" s="28"/>
      <c r="J1" s="28"/>
      <c r="K1" s="28"/>
      <c r="L1" s="108"/>
      <c r="M1" s="108"/>
      <c r="N1" s="108"/>
      <c r="O1" s="108"/>
      <c r="P1" s="108"/>
      <c r="Q1" s="108"/>
    </row>
    <row r="3" spans="1:17" ht="15.75" thickBot="1" x14ac:dyDescent="0.3"/>
    <row r="4" spans="1:17" x14ac:dyDescent="0.25">
      <c r="A4" s="109"/>
      <c r="B4" s="179" t="s">
        <v>60</v>
      </c>
      <c r="C4" s="180"/>
      <c r="D4" s="180"/>
      <c r="E4" s="180"/>
      <c r="F4" s="180"/>
      <c r="G4" s="180"/>
      <c r="H4" s="180"/>
      <c r="I4" s="180"/>
      <c r="J4" s="180"/>
      <c r="K4" s="181"/>
      <c r="L4" s="110"/>
      <c r="M4" s="111"/>
      <c r="N4" s="111"/>
      <c r="O4" s="111"/>
      <c r="P4" s="111"/>
      <c r="Q4" s="111"/>
    </row>
    <row r="5" spans="1:17" ht="15.75" thickBot="1" x14ac:dyDescent="0.3">
      <c r="A5" s="112"/>
      <c r="B5" s="148"/>
      <c r="C5" s="149" t="s">
        <v>10</v>
      </c>
      <c r="D5" s="150" t="s">
        <v>11</v>
      </c>
      <c r="E5" s="182" t="s">
        <v>12</v>
      </c>
      <c r="F5" s="182"/>
      <c r="G5" s="182" t="s">
        <v>13</v>
      </c>
      <c r="H5" s="182"/>
      <c r="I5" s="182"/>
      <c r="J5" s="182" t="s">
        <v>12</v>
      </c>
      <c r="K5" s="183"/>
      <c r="L5" s="113"/>
      <c r="M5" s="113"/>
      <c r="N5" s="113"/>
      <c r="O5" s="113"/>
      <c r="P5" s="113"/>
      <c r="Q5" s="113"/>
    </row>
    <row r="6" spans="1:17" x14ac:dyDescent="0.25">
      <c r="B6" s="151" t="s">
        <v>59</v>
      </c>
      <c r="C6" s="152">
        <v>45836</v>
      </c>
      <c r="D6" s="68" t="s">
        <v>41</v>
      </c>
      <c r="E6" s="20" t="str">
        <f>IF('Fase de Grupos'!AH5=3,'Fase de Grupos'!AF5,"1º do Grupo A")</f>
        <v>1º do Grupo A</v>
      </c>
      <c r="F6" s="153"/>
      <c r="G6" s="23"/>
      <c r="H6" s="19" t="s">
        <v>17</v>
      </c>
      <c r="I6" s="23"/>
      <c r="J6" s="154"/>
      <c r="K6" s="155" t="str">
        <f>IF('Fase de Grupos'!AH12=3,'Fase de Grupos'!AF23,"2º do Grupo B")</f>
        <v>2º do Grupo B</v>
      </c>
      <c r="L6" s="114" t="str">
        <f>IF(OR(G6="",I6=""),"",IF(G6=I6,"emp",""))</f>
        <v/>
      </c>
      <c r="M6" s="115" t="str">
        <f>IF(OR(G6="",I6=""),"Vencedor I",IF(G6&lt;&gt;I6,IF(G6&gt;I6,E6,K6),IF(SUM(F6:G6)=SUM(I6:J6),"Vencedor I",IF(SUM(F6:G6)&gt;SUM(I6:J6),E6,K6))))</f>
        <v>Vencedor I</v>
      </c>
    </row>
    <row r="7" spans="1:17" x14ac:dyDescent="0.25">
      <c r="B7" s="127" t="s">
        <v>100</v>
      </c>
      <c r="C7" s="123">
        <v>45836</v>
      </c>
      <c r="D7" s="40" t="s">
        <v>42</v>
      </c>
      <c r="E7" s="11" t="str">
        <f>IF('Fase de Grupos'!AH17=3,'Fase de Grupos'!AF17,"1º do Grupo C")</f>
        <v>1º do Grupo C</v>
      </c>
      <c r="F7" s="121"/>
      <c r="G7" s="21"/>
      <c r="H7" s="12" t="s">
        <v>17</v>
      </c>
      <c r="I7" s="21"/>
      <c r="J7" s="122"/>
      <c r="K7" s="138" t="str">
        <f>IF('Fase de Grupos'!AH24=3,'Fase de Grupos'!AF24,"2º do Grupo D")</f>
        <v>2º do Grupo D</v>
      </c>
      <c r="L7" s="114" t="str">
        <f t="shared" ref="L7:L13" si="0">IF(OR(G7="",I7=""),"",IF(G7=I7,"emp",""))</f>
        <v/>
      </c>
      <c r="M7" s="115" t="str">
        <f>IF(OR(G7="",I7=""),"Vencedor II",IF(G7&lt;&gt;I7,IF(G7&gt;I7,E7,K7),IF(SUM(F7:G7)=SUM(I7:J7),"Vencedor II",IF(SUM(F7:G7)&gt;SUM(I7:J7),E7,K7))))</f>
        <v>Vencedor II</v>
      </c>
    </row>
    <row r="8" spans="1:17" x14ac:dyDescent="0.25">
      <c r="B8" s="127" t="s">
        <v>101</v>
      </c>
      <c r="C8" s="123">
        <v>45837</v>
      </c>
      <c r="D8" s="40" t="s">
        <v>42</v>
      </c>
      <c r="E8" s="11" t="str">
        <f>IF('Fase de Grupos'!AH11=3,'Fase de Grupos'!AF11,"1º do Grupo B")</f>
        <v>1º do Grupo B</v>
      </c>
      <c r="F8" s="121"/>
      <c r="G8" s="21"/>
      <c r="H8" s="12" t="s">
        <v>17</v>
      </c>
      <c r="I8" s="21"/>
      <c r="J8" s="122"/>
      <c r="K8" s="138" t="str">
        <f>IF('Fase de Grupos'!AH6=3,'Fase de Grupos'!AF6,"2º do Grupo A")</f>
        <v>2º do Grupo A</v>
      </c>
      <c r="L8" s="114" t="str">
        <f t="shared" si="0"/>
        <v/>
      </c>
      <c r="M8" s="115" t="str">
        <f>IF(OR(G8="",I8=""),"Vencedor III",IF(G8&lt;&gt;I8,IF(G8&gt;I8,E8,K8),IF(SUM(F8:G8)=SUM(I8:J8),"Vencedor III",IF(SUM(F8:G8)&gt;SUM(I8:J8),E8,K8))))</f>
        <v>Vencedor III</v>
      </c>
    </row>
    <row r="9" spans="1:17" x14ac:dyDescent="0.25">
      <c r="B9" s="127" t="s">
        <v>102</v>
      </c>
      <c r="C9" s="123">
        <v>45837</v>
      </c>
      <c r="D9" s="40" t="s">
        <v>41</v>
      </c>
      <c r="E9" s="11" t="str">
        <f>IF('Fase de Grupos'!AH23=3,'Fase de Grupos'!AF23,"1º do Grupo D")</f>
        <v>1º do Grupo D</v>
      </c>
      <c r="F9" s="121"/>
      <c r="G9" s="21"/>
      <c r="H9" s="12" t="s">
        <v>17</v>
      </c>
      <c r="I9" s="21"/>
      <c r="J9" s="122"/>
      <c r="K9" s="138" t="str">
        <f>IF('Fase de Grupos'!AH18=3,'Fase de Grupos'!AF18,"2º do Grupo C")</f>
        <v>2º do Grupo C</v>
      </c>
      <c r="L9" s="114" t="str">
        <f t="shared" si="0"/>
        <v/>
      </c>
      <c r="M9" s="115" t="str">
        <f>IF(OR(G9="",I9=""),"Vencedor IV",IF(G9&lt;&gt;I9,IF(G9&gt;I9,E9,K9),IF(SUM(F9:G9)=SUM(I9:J9),"Vencedor IV",IF(SUM(F9:G9)&gt;SUM(I9:J9),E9,K9))))</f>
        <v>Vencedor IV</v>
      </c>
    </row>
    <row r="10" spans="1:17" x14ac:dyDescent="0.25">
      <c r="B10" s="127" t="s">
        <v>38</v>
      </c>
      <c r="C10" s="123">
        <v>45838</v>
      </c>
      <c r="D10" s="40" t="s">
        <v>42</v>
      </c>
      <c r="E10" s="11" t="str">
        <f>IF('Fase de Grupos'!AH29=3,'Fase de Grupos'!AF29,"1º do Grupo E")</f>
        <v>1º do Grupo E</v>
      </c>
      <c r="F10" s="121"/>
      <c r="G10" s="21"/>
      <c r="H10" s="12" t="s">
        <v>17</v>
      </c>
      <c r="I10" s="21"/>
      <c r="J10" s="122"/>
      <c r="K10" s="138" t="str">
        <f>IF('Fase de Grupos'!AH36=3,'Fase de Grupos'!AF36,"2º do Grupo F")</f>
        <v>2º do Grupo F</v>
      </c>
      <c r="L10" s="114" t="str">
        <f t="shared" si="0"/>
        <v/>
      </c>
      <c r="M10" s="115" t="str">
        <f>IF(OR(G10="",I10=""),"Vencedor V",IF(G10&lt;&gt;I10,IF(G10&gt;I10,E10,K10),IF(SUM(F10:G10)=SUM(I10:J10),"Vencedor V",IF(SUM(F10:G10)&gt;SUM(I10:J10),E10,K10))))</f>
        <v>Vencedor V</v>
      </c>
    </row>
    <row r="11" spans="1:17" x14ac:dyDescent="0.25">
      <c r="B11" s="127" t="s">
        <v>103</v>
      </c>
      <c r="C11" s="123">
        <v>45838</v>
      </c>
      <c r="D11" s="40" t="s">
        <v>41</v>
      </c>
      <c r="E11" s="11" t="str">
        <f>IF('Fase de Grupos'!AH41=3,'Fase de Grupos'!AF41,"1º do Grupo G")</f>
        <v>1º do Grupo G</v>
      </c>
      <c r="F11" s="121"/>
      <c r="G11" s="21"/>
      <c r="H11" s="12" t="s">
        <v>17</v>
      </c>
      <c r="I11" s="21"/>
      <c r="J11" s="122"/>
      <c r="K11" s="138" t="str">
        <f>IF('Fase de Grupos'!AH48=3,'Fase de Grupos'!AF48,"2º do Grupo H")</f>
        <v>2º do Grupo H</v>
      </c>
      <c r="L11" s="114" t="str">
        <f t="shared" si="0"/>
        <v/>
      </c>
      <c r="M11" s="115" t="str">
        <f>IF(OR(G11="",I11=""),"Vencedor VI",IF(G11&lt;&gt;I11,IF(G11&gt;I11,E11,K11),IF(SUM(F11:G11)=SUM(I11:J11),"Vencedor VI",IF(SUM(F11:G11)&gt;SUM(I11:J11),E11,K11))))</f>
        <v>Vencedor VI</v>
      </c>
    </row>
    <row r="12" spans="1:17" x14ac:dyDescent="0.25">
      <c r="B12" s="127" t="s">
        <v>104</v>
      </c>
      <c r="C12" s="123">
        <v>45839</v>
      </c>
      <c r="D12" s="40" t="s">
        <v>42</v>
      </c>
      <c r="E12" s="11" t="str">
        <f>IF('Fase de Grupos'!AH35=3,'Fase de Grupos'!AF35,"1º do Grupo F")</f>
        <v>1º do Grupo F</v>
      </c>
      <c r="F12" s="121"/>
      <c r="G12" s="21"/>
      <c r="H12" s="12" t="s">
        <v>17</v>
      </c>
      <c r="I12" s="21"/>
      <c r="J12" s="122"/>
      <c r="K12" s="138" t="str">
        <f>IF('Fase de Grupos'!AH30=3,'Fase de Grupos'!AF30,"2º do Grupo E")</f>
        <v>2º do Grupo E</v>
      </c>
      <c r="L12" s="114" t="str">
        <f t="shared" si="0"/>
        <v/>
      </c>
      <c r="M12" s="115" t="str">
        <f>IF(OR(G12="",I12=""),"Vencedor VII",IF(G12&lt;&gt;I12,IF(G12&gt;I12,E12,K12),IF(SUM(F12:G12)=SUM(I12:J12),"Vencedor VII",IF(SUM(F12:G12)&gt;SUM(I12:J12),E12,K12))))</f>
        <v>Vencedor VII</v>
      </c>
    </row>
    <row r="13" spans="1:17" ht="15.75" thickBot="1" x14ac:dyDescent="0.3">
      <c r="B13" s="128" t="s">
        <v>105</v>
      </c>
      <c r="C13" s="139">
        <v>45839</v>
      </c>
      <c r="D13" s="54" t="s">
        <v>41</v>
      </c>
      <c r="E13" s="15" t="str">
        <f>IF('Fase de Grupos'!AH47=3,'Fase de Grupos'!AF47,"1º do Grupo H")</f>
        <v>1º do Grupo H</v>
      </c>
      <c r="F13" s="140"/>
      <c r="G13" s="22"/>
      <c r="H13" s="16" t="s">
        <v>17</v>
      </c>
      <c r="I13" s="22"/>
      <c r="J13" s="141"/>
      <c r="K13" s="142" t="str">
        <f>IF('Fase de Grupos'!AH42=3,'Fase de Grupos'!AF42,"2º do Grupo G")</f>
        <v>2º do Grupo G</v>
      </c>
      <c r="L13" s="114" t="str">
        <f t="shared" si="0"/>
        <v/>
      </c>
      <c r="M13" s="115" t="str">
        <f>IF(OR(G13="",I13=""),"Vencedor VIII",IF(G13&lt;&gt;I13,IF(G13&gt;I13,E13,K13),IF(SUM(F13:G13)=SUM(I13:J13),"Vencedor VIII",IF(SUM(F13:G13)&gt;SUM(I13:J13),E13,K13))))</f>
        <v>Vencedor VIII</v>
      </c>
    </row>
    <row r="14" spans="1:17" x14ac:dyDescent="0.25">
      <c r="C14" s="116"/>
    </row>
    <row r="15" spans="1:17" ht="15.75" thickBot="1" x14ac:dyDescent="0.3">
      <c r="C15" s="116"/>
    </row>
    <row r="16" spans="1:17" ht="15" customHeight="1" x14ac:dyDescent="0.25">
      <c r="A16" s="109"/>
      <c r="B16" s="179" t="s">
        <v>61</v>
      </c>
      <c r="C16" s="180"/>
      <c r="D16" s="180"/>
      <c r="E16" s="180"/>
      <c r="F16" s="180"/>
      <c r="G16" s="180"/>
      <c r="H16" s="180"/>
      <c r="I16" s="180"/>
      <c r="J16" s="180"/>
      <c r="K16" s="181"/>
      <c r="L16" s="110"/>
      <c r="M16" s="111"/>
      <c r="N16" s="111"/>
    </row>
    <row r="17" spans="1:17" ht="15" customHeight="1" thickBot="1" x14ac:dyDescent="0.3">
      <c r="B17" s="148"/>
      <c r="C17" s="149" t="s">
        <v>10</v>
      </c>
      <c r="D17" s="150" t="s">
        <v>11</v>
      </c>
      <c r="E17" s="182" t="s">
        <v>12</v>
      </c>
      <c r="F17" s="182"/>
      <c r="G17" s="182" t="s">
        <v>13</v>
      </c>
      <c r="H17" s="182"/>
      <c r="I17" s="182"/>
      <c r="J17" s="182" t="s">
        <v>12</v>
      </c>
      <c r="K17" s="183"/>
    </row>
    <row r="18" spans="1:17" x14ac:dyDescent="0.25">
      <c r="B18" s="129" t="s">
        <v>15</v>
      </c>
      <c r="C18" s="156">
        <v>45842</v>
      </c>
      <c r="D18" s="68" t="s">
        <v>42</v>
      </c>
      <c r="E18" s="157" t="str">
        <f>M6</f>
        <v>Vencedor I</v>
      </c>
      <c r="F18" s="158"/>
      <c r="G18" s="23"/>
      <c r="H18" s="99" t="s">
        <v>17</v>
      </c>
      <c r="I18" s="23"/>
      <c r="J18" s="159"/>
      <c r="K18" s="160" t="str">
        <f>M7</f>
        <v>Vencedor II</v>
      </c>
      <c r="L18" s="114" t="str">
        <f>IF(OR(G18="",I18=""),"",IF(G18=I18,"emp",""))</f>
        <v/>
      </c>
      <c r="M18" s="115" t="str">
        <f>IF(OR(G18="",I18=""),"Vencedor A",IF(G18&lt;&gt;I18,IF(G18&gt;I18,E18,K18),IF(SUM(F18:G18)=SUM(I18:J18),"Vencedor A",IF(SUM(F18:G18)&gt;SUM(I18:J18),E18,K18))))</f>
        <v>Vencedor A</v>
      </c>
    </row>
    <row r="19" spans="1:17" x14ac:dyDescent="0.25">
      <c r="B19" s="130" t="s">
        <v>43</v>
      </c>
      <c r="C19" s="124">
        <v>45842</v>
      </c>
      <c r="D19" s="40" t="s">
        <v>41</v>
      </c>
      <c r="E19" s="24" t="str">
        <f>M10</f>
        <v>Vencedor V</v>
      </c>
      <c r="F19" s="125"/>
      <c r="G19" s="21"/>
      <c r="H19" s="90" t="s">
        <v>17</v>
      </c>
      <c r="I19" s="21"/>
      <c r="J19" s="126"/>
      <c r="K19" s="143" t="str">
        <f>M11</f>
        <v>Vencedor VI</v>
      </c>
      <c r="L19" s="114" t="str">
        <f t="shared" ref="L19:L21" si="1">IF(OR(G19="",I19=""),"",IF(G19=I19,"emp",""))</f>
        <v/>
      </c>
      <c r="M19" s="115" t="str">
        <f>IF(OR(G19="",I19=""),"Vencedor B",IF(G19&lt;&gt;I19,IF(G19&gt;I19,E19,K19),IF(SUM(F19:G19)=SUM(I19:J19),"Vencedor B",IF(SUM(F19:G19)&gt;SUM(I19:J19),E19,K19))))</f>
        <v>Vencedor B</v>
      </c>
    </row>
    <row r="20" spans="1:17" x14ac:dyDescent="0.25">
      <c r="B20" s="130" t="s">
        <v>45</v>
      </c>
      <c r="C20" s="124">
        <v>45843</v>
      </c>
      <c r="D20" s="40" t="s">
        <v>41</v>
      </c>
      <c r="E20" s="24" t="str">
        <f>M8</f>
        <v>Vencedor III</v>
      </c>
      <c r="F20" s="125"/>
      <c r="G20" s="21"/>
      <c r="H20" s="90" t="s">
        <v>17</v>
      </c>
      <c r="I20" s="21"/>
      <c r="J20" s="126"/>
      <c r="K20" s="143" t="str">
        <f>M9</f>
        <v>Vencedor IV</v>
      </c>
      <c r="L20" s="114" t="str">
        <f t="shared" si="1"/>
        <v/>
      </c>
      <c r="M20" s="115" t="str">
        <f>IF(OR(G20="",I20=""),"Vencedor C",IF(G20&lt;&gt;I20,IF(G20&gt;I20,E20,K20),IF(SUM(F20:G20)=SUM(I20:J20),"Vencedor C",IF(SUM(F20:G20)&gt;SUM(I20:J20),E20,K20))))</f>
        <v>Vencedor C</v>
      </c>
    </row>
    <row r="21" spans="1:17" ht="15.75" thickBot="1" x14ac:dyDescent="0.3">
      <c r="B21" s="131" t="s">
        <v>40</v>
      </c>
      <c r="C21" s="144">
        <v>45843</v>
      </c>
      <c r="D21" s="54" t="s">
        <v>42</v>
      </c>
      <c r="E21" s="25" t="str">
        <f>M12</f>
        <v>Vencedor VII</v>
      </c>
      <c r="F21" s="145"/>
      <c r="G21" s="22"/>
      <c r="H21" s="92" t="s">
        <v>17</v>
      </c>
      <c r="I21" s="22"/>
      <c r="J21" s="146"/>
      <c r="K21" s="147" t="str">
        <f>M13</f>
        <v>Vencedor VIII</v>
      </c>
      <c r="L21" s="114" t="str">
        <f t="shared" si="1"/>
        <v/>
      </c>
      <c r="M21" s="115" t="str">
        <f>IF(OR(G21="",I21=""),"Vencedor D",IF(G21&lt;&gt;I21,IF(G21&gt;I21,E21,K21),IF(SUM(F21:G21)=SUM(I21:J21),"Vencedor D",IF(SUM(F21:G21)&gt;SUM(I21:J21),E21,K21))))</f>
        <v>Vencedor D</v>
      </c>
    </row>
    <row r="22" spans="1:17" x14ac:dyDescent="0.25">
      <c r="C22" s="116"/>
    </row>
    <row r="23" spans="1:17" ht="15.75" thickBot="1" x14ac:dyDescent="0.3">
      <c r="C23" s="116"/>
    </row>
    <row r="24" spans="1:17" x14ac:dyDescent="0.25">
      <c r="A24" s="109"/>
      <c r="B24" s="179" t="s">
        <v>62</v>
      </c>
      <c r="C24" s="180"/>
      <c r="D24" s="180"/>
      <c r="E24" s="180"/>
      <c r="F24" s="180"/>
      <c r="G24" s="180"/>
      <c r="H24" s="180"/>
      <c r="I24" s="180"/>
      <c r="J24" s="180"/>
      <c r="K24" s="181"/>
      <c r="L24" s="110"/>
      <c r="M24" s="111"/>
      <c r="N24" s="111"/>
      <c r="O24" s="111"/>
      <c r="P24" s="111"/>
      <c r="Q24" s="111"/>
    </row>
    <row r="25" spans="1:17" ht="15.75" thickBot="1" x14ac:dyDescent="0.3">
      <c r="B25" s="148"/>
      <c r="C25" s="149" t="s">
        <v>10</v>
      </c>
      <c r="D25" s="150" t="s">
        <v>11</v>
      </c>
      <c r="E25" s="182" t="s">
        <v>12</v>
      </c>
      <c r="F25" s="182"/>
      <c r="G25" s="182" t="s">
        <v>13</v>
      </c>
      <c r="H25" s="182"/>
      <c r="I25" s="182"/>
      <c r="J25" s="182" t="s">
        <v>12</v>
      </c>
      <c r="K25" s="183"/>
    </row>
    <row r="26" spans="1:17" x14ac:dyDescent="0.25">
      <c r="B26" s="151" t="s">
        <v>63</v>
      </c>
      <c r="C26" s="152">
        <v>45846</v>
      </c>
      <c r="D26" s="68" t="s">
        <v>41</v>
      </c>
      <c r="E26" s="20" t="str">
        <f>M18</f>
        <v>Vencedor A</v>
      </c>
      <c r="F26" s="153"/>
      <c r="G26" s="23"/>
      <c r="H26" s="19" t="s">
        <v>17</v>
      </c>
      <c r="I26" s="23"/>
      <c r="J26" s="154"/>
      <c r="K26" s="155" t="str">
        <f>M19</f>
        <v>Vencedor B</v>
      </c>
      <c r="L26" s="114" t="str">
        <f>IF(OR(G26="",I26=""),"",IF(G26=I26,"emp",""))</f>
        <v/>
      </c>
      <c r="M26" s="115" t="str">
        <f>IF(OR(G26="",I26=""),"Vencedor S1",IF(G26&lt;&gt;I26,IF(G26&gt;I26,E26,K26),IF(SUM(F26:G26)=SUM(I26:J26),"Vencedor S1",IF(SUM(F26:G26)&gt;SUM(I26:J26),E26,K26))))</f>
        <v>Vencedor S1</v>
      </c>
    </row>
    <row r="27" spans="1:17" ht="15.75" thickBot="1" x14ac:dyDescent="0.3">
      <c r="B27" s="128" t="s">
        <v>64</v>
      </c>
      <c r="C27" s="139">
        <v>45847</v>
      </c>
      <c r="D27" s="54" t="s">
        <v>41</v>
      </c>
      <c r="E27" s="15" t="str">
        <f>M20</f>
        <v>Vencedor C</v>
      </c>
      <c r="F27" s="140"/>
      <c r="G27" s="22"/>
      <c r="H27" s="16" t="s">
        <v>17</v>
      </c>
      <c r="I27" s="22"/>
      <c r="J27" s="141"/>
      <c r="K27" s="142" t="str">
        <f>M21</f>
        <v>Vencedor D</v>
      </c>
      <c r="L27" s="114" t="str">
        <f t="shared" ref="L27" si="2">IF(OR(G27="",I27=""),"",IF(G27=I27,"emp",""))</f>
        <v/>
      </c>
      <c r="M27" s="115" t="str">
        <f>IF(OR(G27="",I27=""),"Vencedor S2",IF(G27&lt;&gt;I27,IF(G27&gt;I27,E27,K27),IF(SUM(F27:G27)=SUM(I27:J27),"Vencedor S2",IF(SUM(F27:G27)&gt;SUM(I27:J27),E27,K27))))</f>
        <v>Vencedor S2</v>
      </c>
    </row>
    <row r="28" spans="1:17" x14ac:dyDescent="0.25">
      <c r="C28" s="116"/>
      <c r="M28" s="115" t="str">
        <f>IF(OR(G26="",I26=""),"Perdedor S1",IF(G26&lt;&gt;I26,IF(G26&lt;I26,E26,K26),IF(SUM(F26:G26)=SUM(I26:J26),"Perdedor S1",IF(SUM(F26:G26)&lt;SUM(I26:J26),E26,K26))))</f>
        <v>Perdedor S1</v>
      </c>
    </row>
    <row r="29" spans="1:17" x14ac:dyDescent="0.25">
      <c r="C29" s="116"/>
      <c r="M29" s="115" t="str">
        <f>IF(OR(G27="",I27=""),"Perdedor S2",IF(G27&lt;&gt;I27,IF(G27&lt;I27,E27,K27),IF(SUM(F27:G27)=SUM(I27:J27),"Perdedor S2",IF(SUM(F27:G27)&lt;SUM(I27:J27),E27,K27))))</f>
        <v>Perdedor S2</v>
      </c>
    </row>
    <row r="30" spans="1:17" ht="15.75" thickBot="1" x14ac:dyDescent="0.3">
      <c r="C30" s="116"/>
    </row>
    <row r="31" spans="1:17" x14ac:dyDescent="0.25">
      <c r="A31" s="109"/>
      <c r="B31" s="179" t="s">
        <v>65</v>
      </c>
      <c r="C31" s="180"/>
      <c r="D31" s="180"/>
      <c r="E31" s="180"/>
      <c r="F31" s="180"/>
      <c r="G31" s="180"/>
      <c r="H31" s="180"/>
      <c r="I31" s="180"/>
      <c r="J31" s="180"/>
      <c r="K31" s="181"/>
      <c r="L31" s="110"/>
      <c r="M31" s="111"/>
      <c r="N31" s="111"/>
      <c r="O31" s="111"/>
      <c r="P31" s="111"/>
      <c r="Q31" s="111"/>
    </row>
    <row r="32" spans="1:17" ht="15.75" thickBot="1" x14ac:dyDescent="0.3">
      <c r="B32" s="148"/>
      <c r="C32" s="149" t="s">
        <v>10</v>
      </c>
      <c r="D32" s="150" t="s">
        <v>11</v>
      </c>
      <c r="E32" s="182" t="s">
        <v>12</v>
      </c>
      <c r="F32" s="182"/>
      <c r="G32" s="182" t="s">
        <v>13</v>
      </c>
      <c r="H32" s="182"/>
      <c r="I32" s="182"/>
      <c r="J32" s="182" t="s">
        <v>12</v>
      </c>
      <c r="K32" s="183"/>
    </row>
    <row r="33" spans="1:17" ht="15.75" thickBot="1" x14ac:dyDescent="0.3">
      <c r="B33" s="161" t="s">
        <v>53</v>
      </c>
      <c r="C33" s="162">
        <v>45851</v>
      </c>
      <c r="D33" s="163" t="s">
        <v>16</v>
      </c>
      <c r="E33" s="164" t="str">
        <f>M26</f>
        <v>Vencedor S1</v>
      </c>
      <c r="F33" s="165"/>
      <c r="G33" s="166"/>
      <c r="H33" s="167" t="s">
        <v>17</v>
      </c>
      <c r="I33" s="166"/>
      <c r="J33" s="168"/>
      <c r="K33" s="169" t="str">
        <f>M27</f>
        <v>Vencedor S2</v>
      </c>
      <c r="L33" s="114" t="str">
        <f>IF(OR(G33="",I33=""),"",IF(G33=I33,"emp",""))</f>
        <v/>
      </c>
      <c r="M33" s="115" t="str">
        <f>IF(OR(G33="",I33=""),"1º Lugar",IF(G33&lt;&gt;I33,IF(G33&gt;I33,E33,K33),IF(SUM(F33:G33)=SUM(I33:J33),"1º Lugar",IF(SUM(F33:G33)&gt;SUM(I33:J33),E33,K33))))</f>
        <v>1º Lugar</v>
      </c>
    </row>
    <row r="34" spans="1:17" x14ac:dyDescent="0.25">
      <c r="C34" s="116"/>
      <c r="M34" s="115" t="str">
        <f>IF(OR(G33="",I33=""),"2º Lugar",IF(G33&lt;&gt;I33,IF(G33&lt;I33,E33,K33),IF(SUM(F33:G33)=SUM(I33:J33),"2º Lugar",IF(SUM(F33:G33)&lt;SUM(I33:J33),E33,K33))))</f>
        <v>2º Lugar</v>
      </c>
    </row>
    <row r="35" spans="1:17" x14ac:dyDescent="0.25">
      <c r="C35" s="116"/>
    </row>
    <row r="36" spans="1:17" s="137" customFormat="1" ht="31.5" customHeight="1" x14ac:dyDescent="0.25">
      <c r="A36" s="135"/>
      <c r="B36" s="184" t="s">
        <v>66</v>
      </c>
      <c r="C36" s="184"/>
      <c r="D36" s="184"/>
      <c r="E36" s="173" t="str">
        <f>IF(M33="1º Lugar","",M33)</f>
        <v/>
      </c>
      <c r="F36" s="173"/>
      <c r="G36" s="173"/>
      <c r="H36" s="174"/>
      <c r="I36" s="174"/>
      <c r="J36" s="135"/>
      <c r="K36" s="135"/>
      <c r="L36" s="136"/>
      <c r="M36" s="136"/>
      <c r="N36" s="136"/>
      <c r="O36" s="136"/>
      <c r="P36" s="136"/>
      <c r="Q36" s="136"/>
    </row>
    <row r="37" spans="1:17" s="137" customFormat="1" ht="25.5" customHeight="1" x14ac:dyDescent="0.25">
      <c r="A37" s="135"/>
      <c r="B37" s="184" t="s">
        <v>106</v>
      </c>
      <c r="C37" s="184"/>
      <c r="D37" s="184"/>
      <c r="E37" s="175" t="str">
        <f>IF(M34="2º Lugar","",M34)</f>
        <v/>
      </c>
      <c r="F37" s="175"/>
      <c r="G37" s="175"/>
      <c r="H37" s="174"/>
      <c r="I37" s="174"/>
      <c r="J37" s="135"/>
      <c r="K37" s="135"/>
      <c r="L37" s="136"/>
      <c r="M37" s="136"/>
      <c r="N37" s="136"/>
      <c r="O37" s="136"/>
      <c r="P37" s="136"/>
      <c r="Q37" s="136"/>
    </row>
    <row r="38" spans="1:17" x14ac:dyDescent="0.25">
      <c r="C38" s="116"/>
    </row>
    <row r="39" spans="1:17" x14ac:dyDescent="0.25">
      <c r="C39" s="116"/>
    </row>
    <row r="40" spans="1:17" x14ac:dyDescent="0.25">
      <c r="C40" s="116"/>
    </row>
    <row r="41" spans="1:17" x14ac:dyDescent="0.25">
      <c r="C41" s="116"/>
    </row>
    <row r="42" spans="1:17" x14ac:dyDescent="0.25">
      <c r="C42" s="116"/>
    </row>
    <row r="43" spans="1:17" x14ac:dyDescent="0.25">
      <c r="C43" s="116"/>
    </row>
    <row r="44" spans="1:17" x14ac:dyDescent="0.25">
      <c r="C44" s="116"/>
    </row>
    <row r="45" spans="1:17" x14ac:dyDescent="0.25">
      <c r="C45" s="116"/>
    </row>
    <row r="46" spans="1:17" x14ac:dyDescent="0.25">
      <c r="C46" s="116"/>
    </row>
    <row r="47" spans="1:17" x14ac:dyDescent="0.25">
      <c r="C47" s="116"/>
    </row>
    <row r="48" spans="1:17" x14ac:dyDescent="0.25">
      <c r="C48" s="50"/>
      <c r="D48" s="50"/>
      <c r="E48" s="50"/>
      <c r="H48" s="50"/>
      <c r="K48" s="50"/>
    </row>
    <row r="49" spans="3:11" x14ac:dyDescent="0.25">
      <c r="C49" s="50"/>
      <c r="D49" s="50"/>
      <c r="E49" s="50"/>
      <c r="H49" s="50"/>
      <c r="K49" s="50"/>
    </row>
    <row r="50" spans="3:11" x14ac:dyDescent="0.25">
      <c r="C50" s="50"/>
      <c r="D50" s="50"/>
      <c r="E50" s="50"/>
      <c r="H50" s="50"/>
      <c r="K50" s="50"/>
    </row>
    <row r="51" spans="3:11" x14ac:dyDescent="0.25">
      <c r="C51" s="50"/>
      <c r="D51" s="50"/>
      <c r="E51" s="50"/>
      <c r="H51" s="50"/>
      <c r="K51" s="50"/>
    </row>
    <row r="52" spans="3:11" x14ac:dyDescent="0.25">
      <c r="C52" s="50"/>
      <c r="D52" s="50"/>
      <c r="E52" s="50"/>
      <c r="H52" s="50"/>
      <c r="K52" s="50"/>
    </row>
    <row r="53" spans="3:11" x14ac:dyDescent="0.25">
      <c r="C53" s="50"/>
      <c r="D53" s="50"/>
      <c r="E53" s="50"/>
      <c r="H53" s="50"/>
      <c r="K53" s="50"/>
    </row>
    <row r="54" spans="3:11" x14ac:dyDescent="0.25">
      <c r="C54" s="50"/>
      <c r="D54" s="50"/>
      <c r="E54" s="50"/>
      <c r="H54" s="50"/>
      <c r="K54" s="50"/>
    </row>
    <row r="55" spans="3:11" x14ac:dyDescent="0.25">
      <c r="C55" s="50"/>
      <c r="D55" s="50"/>
      <c r="E55" s="50"/>
      <c r="H55" s="50"/>
      <c r="K55" s="50"/>
    </row>
    <row r="56" spans="3:11" x14ac:dyDescent="0.25">
      <c r="C56" s="50"/>
      <c r="D56" s="50"/>
      <c r="E56" s="50"/>
      <c r="H56" s="50"/>
      <c r="K56" s="50"/>
    </row>
    <row r="57" spans="3:11" x14ac:dyDescent="0.25">
      <c r="C57" s="50"/>
      <c r="D57" s="50"/>
      <c r="E57" s="50"/>
      <c r="H57" s="50"/>
      <c r="K57" s="50"/>
    </row>
    <row r="58" spans="3:11" x14ac:dyDescent="0.25">
      <c r="C58" s="50"/>
      <c r="D58" s="50"/>
      <c r="E58" s="50"/>
      <c r="H58" s="50"/>
      <c r="K58" s="50"/>
    </row>
  </sheetData>
  <sheetProtection password="CC01" sheet="1" selectLockedCells="1"/>
  <mergeCells count="18">
    <mergeCell ref="B37:D37"/>
    <mergeCell ref="B31:K31"/>
    <mergeCell ref="E32:F32"/>
    <mergeCell ref="G32:I32"/>
    <mergeCell ref="J32:K32"/>
    <mergeCell ref="B36:D36"/>
    <mergeCell ref="B24:K24"/>
    <mergeCell ref="E25:F25"/>
    <mergeCell ref="G25:I25"/>
    <mergeCell ref="J25:K25"/>
    <mergeCell ref="E17:F17"/>
    <mergeCell ref="G17:I17"/>
    <mergeCell ref="J17:K17"/>
    <mergeCell ref="B4:K4"/>
    <mergeCell ref="E5:F5"/>
    <mergeCell ref="G5:I5"/>
    <mergeCell ref="J5:K5"/>
    <mergeCell ref="B16:K16"/>
  </mergeCells>
  <conditionalFormatting sqref="F6">
    <cfRule type="expression" dxfId="31" priority="128">
      <formula>L6="emp"</formula>
    </cfRule>
  </conditionalFormatting>
  <conditionalFormatting sqref="J6">
    <cfRule type="expression" dxfId="30" priority="127">
      <formula>L6="emp"</formula>
    </cfRule>
  </conditionalFormatting>
  <conditionalFormatting sqref="K6:K13">
    <cfRule type="expression" dxfId="29" priority="12">
      <formula>$K6=$M6</formula>
    </cfRule>
    <cfRule type="expression" dxfId="28" priority="126">
      <formula>Q6="emp"</formula>
    </cfRule>
  </conditionalFormatting>
  <conditionalFormatting sqref="K6:K13">
    <cfRule type="expression" dxfId="27" priority="125">
      <formula>Q6="emp"</formula>
    </cfRule>
  </conditionalFormatting>
  <conditionalFormatting sqref="B36:D37">
    <cfRule type="expression" dxfId="26" priority="118">
      <formula>E36&lt;&gt;""</formula>
    </cfRule>
  </conditionalFormatting>
  <conditionalFormatting sqref="F18:F21">
    <cfRule type="expression" dxfId="25" priority="47">
      <formula>L18="emp"</formula>
    </cfRule>
  </conditionalFormatting>
  <conditionalFormatting sqref="J18:J21">
    <cfRule type="expression" dxfId="24" priority="46">
      <formula>L18="emp"</formula>
    </cfRule>
  </conditionalFormatting>
  <conditionalFormatting sqref="K18:K21">
    <cfRule type="expression" dxfId="23" priority="45">
      <formula>Q18="emp"</formula>
    </cfRule>
  </conditionalFormatting>
  <conditionalFormatting sqref="F7:F13">
    <cfRule type="expression" dxfId="22" priority="42">
      <formula>L7="emp"</formula>
    </cfRule>
  </conditionalFormatting>
  <conditionalFormatting sqref="J7:J13">
    <cfRule type="expression" dxfId="21" priority="41">
      <formula>L7="emp"</formula>
    </cfRule>
  </conditionalFormatting>
  <conditionalFormatting sqref="K7:K13">
    <cfRule type="expression" dxfId="20" priority="40">
      <formula>Q7="emp"</formula>
    </cfRule>
  </conditionalFormatting>
  <conditionalFormatting sqref="K7:K13">
    <cfRule type="expression" dxfId="19" priority="39">
      <formula>Q7="emp"</formula>
    </cfRule>
  </conditionalFormatting>
  <conditionalFormatting sqref="F26">
    <cfRule type="expression" dxfId="18" priority="30">
      <formula>L26="emp"</formula>
    </cfRule>
  </conditionalFormatting>
  <conditionalFormatting sqref="J26">
    <cfRule type="expression" dxfId="17" priority="29">
      <formula>L26="emp"</formula>
    </cfRule>
  </conditionalFormatting>
  <conditionalFormatting sqref="F27">
    <cfRule type="expression" dxfId="16" priority="24">
      <formula>L27="emp"</formula>
    </cfRule>
  </conditionalFormatting>
  <conditionalFormatting sqref="J27">
    <cfRule type="expression" dxfId="15" priority="23">
      <formula>L27="emp"</formula>
    </cfRule>
  </conditionalFormatting>
  <conditionalFormatting sqref="F33">
    <cfRule type="expression" dxfId="14" priority="18">
      <formula>L33="emp"</formula>
    </cfRule>
  </conditionalFormatting>
  <conditionalFormatting sqref="J33">
    <cfRule type="expression" dxfId="13" priority="17">
      <formula>L33="emp"</formula>
    </cfRule>
  </conditionalFormatting>
  <conditionalFormatting sqref="E6">
    <cfRule type="expression" dxfId="12" priority="14">
      <formula>$E6=$M6</formula>
    </cfRule>
  </conditionalFormatting>
  <conditionalFormatting sqref="E7:E13">
    <cfRule type="expression" dxfId="11" priority="13">
      <formula>$E7=$M7</formula>
    </cfRule>
  </conditionalFormatting>
  <conditionalFormatting sqref="E18">
    <cfRule type="expression" dxfId="10" priority="11">
      <formula>$E18=$M18</formula>
    </cfRule>
  </conditionalFormatting>
  <conditionalFormatting sqref="E19:E21">
    <cfRule type="expression" dxfId="9" priority="10">
      <formula>$E19=$M19</formula>
    </cfRule>
  </conditionalFormatting>
  <conditionalFormatting sqref="K18">
    <cfRule type="expression" dxfId="8" priority="9">
      <formula>$K18=$M18</formula>
    </cfRule>
  </conditionalFormatting>
  <conditionalFormatting sqref="K19:K21">
    <cfRule type="expression" dxfId="7" priority="8">
      <formula>$K19=$M19</formula>
    </cfRule>
  </conditionalFormatting>
  <conditionalFormatting sqref="E26:E27">
    <cfRule type="expression" dxfId="6" priority="7">
      <formula>$E26=$M26</formula>
    </cfRule>
  </conditionalFormatting>
  <conditionalFormatting sqref="K26:K27">
    <cfRule type="expression" dxfId="5" priority="4">
      <formula>$K26=$M26</formula>
    </cfRule>
    <cfRule type="expression" dxfId="4" priority="6">
      <formula>Q26="emp"</formula>
    </cfRule>
  </conditionalFormatting>
  <conditionalFormatting sqref="K26:K27">
    <cfRule type="expression" dxfId="3" priority="5">
      <formula>Q26="emp"</formula>
    </cfRule>
  </conditionalFormatting>
  <conditionalFormatting sqref="E33">
    <cfRule type="expression" dxfId="2" priority="3">
      <formula>$E33=$M33</formula>
    </cfRule>
  </conditionalFormatting>
  <conditionalFormatting sqref="K33">
    <cfRule type="expression" dxfId="1" priority="2">
      <formula>Q33="emp"</formula>
    </cfRule>
  </conditionalFormatting>
  <conditionalFormatting sqref="K33">
    <cfRule type="expression" dxfId="0" priority="1">
      <formula>$K33=$M33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r:id="rId1"/>
  <ignoredErrors>
    <ignoredError sqref="E19:E20 K19:K20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8c2798-6aba-4af7-93a4-b89253b0365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F2846C41E31A469E3CED25F2422E48" ma:contentTypeVersion="15" ma:contentTypeDescription="Create a new document." ma:contentTypeScope="" ma:versionID="d0c08e4af4d80db6585ac36ba965bb3a">
  <xsd:schema xmlns:xsd="http://www.w3.org/2001/XMLSchema" xmlns:xs="http://www.w3.org/2001/XMLSchema" xmlns:p="http://schemas.microsoft.com/office/2006/metadata/properties" xmlns:ns3="2c8c20e6-817c-474f-b9c2-eb2b1ac24837" xmlns:ns4="dc8c2798-6aba-4af7-93a4-b89253b03650" targetNamespace="http://schemas.microsoft.com/office/2006/metadata/properties" ma:root="true" ma:fieldsID="4e7db2db65f9cb533b4933096bc9b657" ns3:_="" ns4:_="">
    <xsd:import namespace="2c8c20e6-817c-474f-b9c2-eb2b1ac24837"/>
    <xsd:import namespace="dc8c2798-6aba-4af7-93a4-b89253b036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c20e6-817c-474f-b9c2-eb2b1ac248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c2798-6aba-4af7-93a4-b89253b03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5D7D45-1E18-48AE-827B-096C3C02C97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3E7837-68AD-48B2-A1AB-AAB452317AF5}">
  <ds:schemaRefs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schemas.openxmlformats.org/package/2006/metadata/core-properties"/>
    <ds:schemaRef ds:uri="dc8c2798-6aba-4af7-93a4-b89253b03650"/>
    <ds:schemaRef ds:uri="2c8c20e6-817c-474f-b9c2-eb2b1ac24837"/>
  </ds:schemaRefs>
</ds:datastoreItem>
</file>

<file path=customXml/itemProps3.xml><?xml version="1.0" encoding="utf-8"?>
<ds:datastoreItem xmlns:ds="http://schemas.openxmlformats.org/officeDocument/2006/customXml" ds:itemID="{BDFBCCD5-5BDE-495C-BFE9-46A98A6BC5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c20e6-817c-474f-b9c2-eb2b1ac24837"/>
    <ds:schemaRef ds:uri="dc8c2798-6aba-4af7-93a4-b89253b03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Classificados</vt:lpstr>
      <vt:lpstr>Sorteios</vt:lpstr>
      <vt:lpstr>Fase de Grupos</vt:lpstr>
      <vt:lpstr>Finais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MAURILYN JOSE DE LIMA JUNIOR</dc:creator>
  <cp:lastModifiedBy>MAURILYN JOSE DE LIMA JUNIOR</cp:lastModifiedBy>
  <dcterms:created xsi:type="dcterms:W3CDTF">2023-09-26T01:14:59Z</dcterms:created>
  <dcterms:modified xsi:type="dcterms:W3CDTF">2025-06-19T01:39:15Z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0x010100DBF2846C41E31A469E3CED25F2422E48</vt:lpwstr>
  </property>
</Properties>
</file>