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3A8F7D80-65B8-4578-A9F0-EF9241E5DBED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K50" i="3"/>
  <c r="J50" i="3"/>
  <c r="M49" i="3"/>
  <c r="J49" i="3"/>
  <c r="K49" i="3" s="1"/>
  <c r="M48" i="3"/>
  <c r="K48" i="3"/>
  <c r="J48" i="3"/>
  <c r="M47" i="3"/>
  <c r="K47" i="3"/>
  <c r="J47" i="3"/>
  <c r="M46" i="3"/>
  <c r="K46" i="3"/>
  <c r="J46" i="3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K33" i="3"/>
  <c r="J33" i="3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K27" i="3"/>
  <c r="J27" i="3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K16" i="3"/>
  <c r="J16" i="3"/>
  <c r="M15" i="3"/>
  <c r="K15" i="3"/>
  <c r="J15" i="3"/>
  <c r="M14" i="3"/>
  <c r="J14" i="3"/>
  <c r="K14" i="3" s="1"/>
  <c r="I14" i="3"/>
  <c r="M13" i="3"/>
  <c r="J13" i="3"/>
  <c r="K13" i="3" s="1"/>
  <c r="M12" i="3"/>
  <c r="J12" i="3"/>
  <c r="K12" i="3" s="1"/>
  <c r="M11" i="3"/>
  <c r="K11" i="3"/>
  <c r="J11" i="3"/>
  <c r="I11" i="3"/>
  <c r="E11" i="3"/>
  <c r="L11" i="3" s="1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42" i="3" l="1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14" i="3"/>
  <c r="U11" i="3"/>
  <c r="U17" i="3"/>
  <c r="U23" i="3"/>
  <c r="U29" i="3"/>
  <c r="U35" i="3"/>
  <c r="U41" i="3"/>
  <c r="U47" i="3"/>
  <c r="U12" i="3"/>
  <c r="U18" i="3"/>
  <c r="U24" i="3"/>
  <c r="U30" i="3"/>
  <c r="U36" i="3"/>
  <c r="U42" i="3"/>
  <c r="U48" i="3"/>
  <c r="U13" i="3"/>
  <c r="U19" i="3"/>
  <c r="U25" i="3"/>
  <c r="U31" i="3"/>
  <c r="U37" i="3"/>
  <c r="U43" i="3"/>
  <c r="U49" i="3"/>
  <c r="U20" i="3"/>
  <c r="U26" i="3"/>
  <c r="U32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L4" i="3"/>
  <c r="V11" i="3" l="1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X7" i="3" s="1"/>
  <c r="W14" i="3"/>
  <c r="X14" i="3" s="1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20" i="3" l="1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AF47" i="3" s="1"/>
  <c r="O5" i="3"/>
  <c r="O32" i="3"/>
  <c r="O31" i="3"/>
  <c r="O37" i="3"/>
  <c r="O35" i="3"/>
  <c r="AH35" i="3" s="1"/>
  <c r="O23" i="3"/>
  <c r="AL23" i="3" s="1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K5" i="3" l="1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K11" i="4" s="1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1" i="4" l="1"/>
  <c r="K13" i="4"/>
  <c r="K10" i="4"/>
  <c r="E7" i="4"/>
  <c r="E10" i="4"/>
  <c r="K12" i="4"/>
  <c r="K9" i="4"/>
  <c r="K7" i="4"/>
  <c r="E9" i="4"/>
  <c r="E8" i="4"/>
  <c r="K6" i="4"/>
  <c r="K8" i="4"/>
  <c r="E6" i="4"/>
</calcChain>
</file>

<file path=xl/sharedStrings.xml><?xml version="1.0" encoding="utf-8"?>
<sst xmlns="http://schemas.openxmlformats.org/spreadsheetml/2006/main" count="564" uniqueCount="112">
  <si>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</si>
  <si>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</si>
  <si>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</si>
  <si>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</si>
  <si>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</si>
  <si>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</si>
  <si>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</si>
  <si>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</si>
  <si>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</si>
  <si>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</si>
  <si>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</si>
  <si>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</si>
  <si>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</si>
  <si>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</si>
  <si>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</si>
  <si>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</si>
  <si>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</si>
  <si>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</si>
  <si>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</si>
  <si>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</si>
  <si>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</si>
  <si>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</si>
  <si>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</si>
  <si>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</si>
  <si>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</si>
  <si>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</si>
  <si>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</si>
  <si>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</si>
  <si>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</si>
  <si>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</si>
  <si>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</si>
  <si>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</si>
  <si>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</si>
  <si>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</si>
  <si>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</si>
  <si>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</si>
  <si>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</si>
  <si>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</si>
  <si>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</si>
  <si>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</si>
  <si>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</si>
  <si>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</si>
  <si>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</si>
  <si>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</si>
  <si>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</si>
  <si>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</si>
  <si>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</si>
  <si>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</si>
  <si>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</si>
  <si>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</si>
  <si>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</si>
  <si>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</si>
  <si>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</si>
  <si>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</si>
  <si>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</si>
  <si>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</si>
  <si>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</si>
  <si>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</si>
  <si>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</si>
  <si>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D4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</si>
  <si>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</si>
  <si>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</si>
  <si>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</si>
  <si>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</si>
  <si>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</si>
  <si>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</si>
  <si>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</si>
  <si>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</si>
  <si>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</si>
  <si>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</si>
  <si>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</si>
  <si>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</si>
  <si>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</si>
  <si>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</si>
  <si>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</si>
  <si>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</si>
  <si>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</si>
  <si>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</si>
  <si>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</si>
  <si>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</si>
  <si>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</si>
  <si>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</si>
  <si>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</si>
  <si>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</si>
  <si>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</si>
  <si>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</si>
  <si>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</si>
  <si>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</si>
  <si>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</si>
  <si>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</si>
  <si>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</si>
  <si>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</si>
  <si>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</si>
  <si>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</si>
  <si>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</si>
  <si>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</si>
  <si>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</si>
  <si>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</si>
  <si>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</si>
  <si>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</si>
  <si>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</si>
  <si>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Atlétido de Madrid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</si>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</sst>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3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2" fillId="6" borderId="3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D34"/>
  <sheetViews>
    <sheetView showRowColHeaders="0" workbookViewId="0">
      <selection activeCell="C32" sqref="C32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4" ht="13.5" thickBot="1" x14ac:dyDescent="0.3"/>
    <row r="2" spans="2:4" ht="14.25" customHeight="1" x14ac:dyDescent="0.25">
      <c r="B2" s="101" t="s">
        <v>1</v>
      </c>
      <c r="C2" s="102" t="s">
        <v>0</v>
      </c>
      <c r="D2" s="103" t="s">
        <v>2</v>
      </c>
    </row>
    <row r="3" spans="2:4" ht="14.25" customHeight="1" x14ac:dyDescent="0.25">
      <c r="B3" s="104">
        <v>1</v>
      </c>
      <c r="C3" s="170" t="s">
        <v>70</v>
      </c>
      <c r="D3" s="106" t="s">
        <v>8</v>
      </c>
    </row>
    <row r="4" spans="2:4" ht="14.25" customHeight="1" x14ac:dyDescent="0.25">
      <c r="B4" s="104">
        <v>2</v>
      </c>
      <c r="C4" s="171" t="s">
        <v>71</v>
      </c>
      <c r="D4" s="106" t="s">
        <v>8</v>
      </c>
    </row>
    <row r="5" spans="2:4" ht="14.25" customHeight="1" x14ac:dyDescent="0.25">
      <c r="B5" s="104">
        <v>3</v>
      </c>
      <c r="C5" s="170" t="s">
        <v>72</v>
      </c>
      <c r="D5" s="106" t="s">
        <v>8</v>
      </c>
    </row>
    <row r="6" spans="2:4" ht="14.25" customHeight="1" x14ac:dyDescent="0.25">
      <c r="B6" s="104">
        <v>4</v>
      </c>
      <c r="C6" s="171" t="s">
        <v>73</v>
      </c>
      <c r="D6" s="106" t="s">
        <v>8</v>
      </c>
    </row>
    <row r="7" spans="2:4" ht="14.25" customHeight="1" x14ac:dyDescent="0.25">
      <c r="B7" s="104">
        <v>5</v>
      </c>
      <c r="C7" s="170" t="s">
        <v>74</v>
      </c>
      <c r="D7" s="106" t="s">
        <v>8</v>
      </c>
    </row>
    <row r="8" spans="2:4" ht="14.25" customHeight="1" x14ac:dyDescent="0.25">
      <c r="B8" s="104">
        <v>6</v>
      </c>
      <c r="C8" s="171" t="s">
        <v>75</v>
      </c>
      <c r="D8" s="106" t="s">
        <v>8</v>
      </c>
    </row>
    <row r="9" spans="2:4" ht="14.25" customHeight="1" x14ac:dyDescent="0.25">
      <c r="B9" s="104">
        <v>7</v>
      </c>
      <c r="C9" s="170" t="s">
        <v>76</v>
      </c>
      <c r="D9" s="106" t="s">
        <v>8</v>
      </c>
    </row>
    <row r="10" spans="2:4" ht="14.25" customHeight="1" x14ac:dyDescent="0.25">
      <c r="B10" s="104">
        <v>8</v>
      </c>
      <c r="C10" s="171" t="s">
        <v>77</v>
      </c>
      <c r="D10" s="106" t="s">
        <v>8</v>
      </c>
    </row>
    <row r="11" spans="2:4" ht="14.25" customHeight="1" x14ac:dyDescent="0.25">
      <c r="B11" s="104">
        <v>9</v>
      </c>
      <c r="C11" s="170" t="s">
        <v>78</v>
      </c>
      <c r="D11" s="106" t="s">
        <v>8</v>
      </c>
    </row>
    <row r="12" spans="2:4" ht="14.25" customHeight="1" x14ac:dyDescent="0.25">
      <c r="B12" s="104">
        <v>10</v>
      </c>
      <c r="C12" s="171" t="s">
        <v>79</v>
      </c>
      <c r="D12" s="106" t="s">
        <v>8</v>
      </c>
    </row>
    <row r="13" spans="2:4" ht="14.25" customHeight="1" x14ac:dyDescent="0.25">
      <c r="B13" s="104">
        <v>11</v>
      </c>
      <c r="C13" s="170" t="s">
        <v>80</v>
      </c>
      <c r="D13" s="106" t="s">
        <v>8</v>
      </c>
    </row>
    <row r="14" spans="2:4" ht="14.25" customHeight="1" x14ac:dyDescent="0.25">
      <c r="B14" s="104">
        <v>12</v>
      </c>
      <c r="C14" s="171" t="s">
        <v>81</v>
      </c>
      <c r="D14" s="106" t="s">
        <v>8</v>
      </c>
    </row>
    <row r="15" spans="2:4" ht="14.25" customHeight="1" x14ac:dyDescent="0.25">
      <c r="B15" s="104">
        <v>13</v>
      </c>
      <c r="C15" s="170" t="s">
        <v>82</v>
      </c>
      <c r="D15" s="106" t="s">
        <v>6</v>
      </c>
    </row>
    <row r="16" spans="2:4" ht="14.25" customHeight="1" x14ac:dyDescent="0.25">
      <c r="B16" s="104">
        <v>14</v>
      </c>
      <c r="C16" s="171" t="s">
        <v>83</v>
      </c>
      <c r="D16" s="106" t="s">
        <v>6</v>
      </c>
    </row>
    <row r="17" spans="2:4" ht="14.25" customHeight="1" x14ac:dyDescent="0.25">
      <c r="B17" s="104">
        <v>15</v>
      </c>
      <c r="C17" s="170" t="s">
        <v>84</v>
      </c>
      <c r="D17" s="106" t="s">
        <v>6</v>
      </c>
    </row>
    <row r="18" spans="2:4" ht="14.25" customHeight="1" x14ac:dyDescent="0.25">
      <c r="B18" s="104">
        <v>16</v>
      </c>
      <c r="C18" s="171" t="s">
        <v>85</v>
      </c>
      <c r="D18" s="106" t="s">
        <v>6</v>
      </c>
    </row>
    <row r="19" spans="2:4" ht="14.25" customHeight="1" x14ac:dyDescent="0.25">
      <c r="B19" s="104">
        <v>17</v>
      </c>
      <c r="C19" s="170" t="s">
        <v>86</v>
      </c>
      <c r="D19" s="106" t="s">
        <v>6</v>
      </c>
    </row>
    <row r="20" spans="2:4" ht="14.25" customHeight="1" x14ac:dyDescent="0.25">
      <c r="B20" s="104">
        <v>18</v>
      </c>
      <c r="C20" s="171" t="s">
        <v>87</v>
      </c>
      <c r="D20" s="106" t="s">
        <v>6</v>
      </c>
    </row>
    <row r="21" spans="2:4" ht="14.25" customHeight="1" x14ac:dyDescent="0.25">
      <c r="B21" s="104">
        <v>19</v>
      </c>
      <c r="C21" s="170" t="s">
        <v>88</v>
      </c>
      <c r="D21" s="106" t="s">
        <v>3</v>
      </c>
    </row>
    <row r="22" spans="2:4" ht="14.25" customHeight="1" x14ac:dyDescent="0.25">
      <c r="B22" s="104">
        <v>20</v>
      </c>
      <c r="C22" s="171" t="s">
        <v>89</v>
      </c>
      <c r="D22" s="106" t="s">
        <v>3</v>
      </c>
    </row>
    <row r="23" spans="2:4" ht="14.25" customHeight="1" x14ac:dyDescent="0.25">
      <c r="B23" s="104">
        <v>21</v>
      </c>
      <c r="C23" s="170" t="s">
        <v>90</v>
      </c>
      <c r="D23" s="106" t="s">
        <v>3</v>
      </c>
    </row>
    <row r="24" spans="2:4" ht="14.25" customHeight="1" x14ac:dyDescent="0.25">
      <c r="B24" s="104">
        <v>22</v>
      </c>
      <c r="C24" s="171" t="s">
        <v>91</v>
      </c>
      <c r="D24" s="106" t="s">
        <v>3</v>
      </c>
    </row>
    <row r="25" spans="2:4" ht="14.25" customHeight="1" x14ac:dyDescent="0.25">
      <c r="B25" s="104">
        <v>23</v>
      </c>
      <c r="C25" s="170" t="s">
        <v>92</v>
      </c>
      <c r="D25" s="106" t="s">
        <v>4</v>
      </c>
    </row>
    <row r="26" spans="2:4" ht="14.25" customHeight="1" x14ac:dyDescent="0.25">
      <c r="B26" s="104">
        <v>24</v>
      </c>
      <c r="C26" s="171" t="s">
        <v>93</v>
      </c>
      <c r="D26" s="106" t="s">
        <v>4</v>
      </c>
    </row>
    <row r="27" spans="2:4" ht="14.25" customHeight="1" x14ac:dyDescent="0.25">
      <c r="B27" s="104">
        <v>25</v>
      </c>
      <c r="C27" s="170" t="s">
        <v>94</v>
      </c>
      <c r="D27" s="106" t="s">
        <v>4</v>
      </c>
    </row>
    <row r="28" spans="2:4" ht="14.25" customHeight="1" x14ac:dyDescent="0.25">
      <c r="B28" s="104">
        <v>26</v>
      </c>
      <c r="C28" s="171" t="s">
        <v>95</v>
      </c>
      <c r="D28" s="106" t="s">
        <v>4</v>
      </c>
    </row>
    <row r="29" spans="2:4" ht="14.25" customHeight="1" x14ac:dyDescent="0.25">
      <c r="B29" s="104">
        <v>27</v>
      </c>
      <c r="C29" s="170" t="s">
        <v>96</v>
      </c>
      <c r="D29" s="106" t="s">
        <v>5</v>
      </c>
    </row>
    <row r="30" spans="2:4" ht="14.25" customHeight="1" x14ac:dyDescent="0.25">
      <c r="B30" s="104">
        <v>28</v>
      </c>
      <c r="C30" s="171" t="s">
        <v>97</v>
      </c>
      <c r="D30" s="106" t="s">
        <v>5</v>
      </c>
    </row>
    <row r="31" spans="2:4" ht="14.25" customHeight="1" x14ac:dyDescent="0.25">
      <c r="B31" s="104">
        <v>29</v>
      </c>
      <c r="C31" s="170" t="s">
        <v>98</v>
      </c>
      <c r="D31" s="106" t="s">
        <v>5</v>
      </c>
    </row>
    <row r="32" spans="2:4" ht="14.25" customHeight="1" x14ac:dyDescent="0.25">
      <c r="B32" s="104">
        <v>30</v>
      </c>
      <c r="C32" s="171"/>
      <c r="D32" s="106" t="s">
        <v>5</v>
      </c>
    </row>
    <row r="33" spans="2:4" ht="14.25" customHeight="1" x14ac:dyDescent="0.25">
      <c r="B33" s="104">
        <v>31</v>
      </c>
      <c r="C33" s="170" t="s">
        <v>99</v>
      </c>
      <c r="D33" s="106" t="s">
        <v>7</v>
      </c>
    </row>
    <row r="34" spans="2:4" ht="14.25" customHeight="1" thickBot="1" x14ac:dyDescent="0.3">
      <c r="B34" s="105">
        <v>32</v>
      </c>
      <c r="C34" s="172" t="s">
        <v>100</v>
      </c>
      <c r="D34" s="107" t="s">
        <v>68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L9" sqref="L9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110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69</v>
      </c>
      <c r="E5" s="4" t="s">
        <v>35</v>
      </c>
      <c r="F5" s="5" t="s">
        <v>69</v>
      </c>
      <c r="H5" s="4" t="s">
        <v>35</v>
      </c>
      <c r="I5" s="5" t="s">
        <v>69</v>
      </c>
      <c r="K5" s="4" t="s">
        <v>35</v>
      </c>
      <c r="L5" s="5" t="s">
        <v>69</v>
      </c>
    </row>
    <row r="6" spans="2:12" x14ac:dyDescent="0.2">
      <c r="B6" s="6">
        <v>1</v>
      </c>
      <c r="C6" s="8" t="s">
        <v>82</v>
      </c>
      <c r="E6" s="6">
        <v>1</v>
      </c>
      <c r="F6" s="8" t="s">
        <v>74</v>
      </c>
      <c r="H6" s="6">
        <v>1</v>
      </c>
      <c r="I6" s="8" t="s">
        <v>73</v>
      </c>
      <c r="K6" s="6">
        <v>1</v>
      </c>
      <c r="L6" s="8" t="s">
        <v>83</v>
      </c>
    </row>
    <row r="7" spans="2:12" x14ac:dyDescent="0.2">
      <c r="B7" s="6">
        <v>2</v>
      </c>
      <c r="C7" s="8" t="s">
        <v>76</v>
      </c>
      <c r="E7" s="6">
        <v>2</v>
      </c>
      <c r="F7" s="8" t="s">
        <v>101</v>
      </c>
      <c r="H7" s="6">
        <v>2</v>
      </c>
      <c r="I7" s="8" t="s">
        <v>99</v>
      </c>
      <c r="K7" s="6">
        <v>2</v>
      </c>
      <c r="L7" s="8" t="s">
        <v>94</v>
      </c>
    </row>
    <row r="8" spans="2:12" x14ac:dyDescent="0.2">
      <c r="B8" s="6">
        <v>3</v>
      </c>
      <c r="C8" s="8" t="s">
        <v>92</v>
      </c>
      <c r="E8" s="6">
        <v>3</v>
      </c>
      <c r="F8" s="8" t="s">
        <v>85</v>
      </c>
      <c r="H8" s="6">
        <v>3</v>
      </c>
      <c r="I8" s="8" t="s">
        <v>87</v>
      </c>
      <c r="K8" s="6">
        <v>3</v>
      </c>
      <c r="L8" s="8" t="s">
        <v>70</v>
      </c>
    </row>
    <row r="9" spans="2:12" ht="15" thickBot="1" x14ac:dyDescent="0.25">
      <c r="B9" s="7">
        <v>4</v>
      </c>
      <c r="C9" s="9" t="s">
        <v>100</v>
      </c>
      <c r="E9" s="7">
        <v>4</v>
      </c>
      <c r="F9" s="9" t="s">
        <v>97</v>
      </c>
      <c r="H9" s="7">
        <v>4</v>
      </c>
      <c r="I9" s="9" t="s">
        <v>77</v>
      </c>
      <c r="K9" s="7">
        <v>4</v>
      </c>
      <c r="L9" s="9" t="s">
        <v>59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69</v>
      </c>
      <c r="E13" s="4" t="s">
        <v>35</v>
      </c>
      <c r="F13" s="5" t="s">
        <v>69</v>
      </c>
      <c r="H13" s="4" t="s">
        <v>35</v>
      </c>
      <c r="I13" s="5" t="s">
        <v>69</v>
      </c>
      <c r="K13" s="4" t="s">
        <v>35</v>
      </c>
      <c r="L13" s="5" t="s">
        <v>69</v>
      </c>
    </row>
    <row r="14" spans="2:12" x14ac:dyDescent="0.2">
      <c r="B14" s="6">
        <v>1</v>
      </c>
      <c r="C14" s="8" t="s">
        <v>86</v>
      </c>
      <c r="E14" s="6">
        <v>1</v>
      </c>
      <c r="F14" s="8" t="s">
        <v>84</v>
      </c>
      <c r="H14" s="6">
        <v>1</v>
      </c>
      <c r="I14" s="8" t="s">
        <v>72</v>
      </c>
      <c r="K14" s="6">
        <v>1</v>
      </c>
      <c r="L14" s="8" t="s">
        <v>71</v>
      </c>
    </row>
    <row r="15" spans="2:12" x14ac:dyDescent="0.2">
      <c r="B15" s="6">
        <v>2</v>
      </c>
      <c r="C15" s="8" t="s">
        <v>89</v>
      </c>
      <c r="E15" s="6">
        <v>2</v>
      </c>
      <c r="F15" s="8" t="s">
        <v>78</v>
      </c>
      <c r="H15" s="6">
        <v>2</v>
      </c>
      <c r="I15" s="8" t="s">
        <v>93</v>
      </c>
      <c r="K15" s="6">
        <v>2</v>
      </c>
      <c r="L15" s="8" t="s">
        <v>88</v>
      </c>
    </row>
    <row r="16" spans="2:12" x14ac:dyDescent="0.2">
      <c r="B16" s="6">
        <v>3</v>
      </c>
      <c r="C16" s="8" t="s">
        <v>96</v>
      </c>
      <c r="E16" s="6">
        <v>3</v>
      </c>
      <c r="F16" s="8" t="s">
        <v>91</v>
      </c>
      <c r="H16" s="6">
        <v>3</v>
      </c>
      <c r="I16" s="8" t="s">
        <v>90</v>
      </c>
      <c r="K16" s="6">
        <v>3</v>
      </c>
      <c r="L16" s="8" t="s">
        <v>98</v>
      </c>
    </row>
    <row r="17" spans="2:12" ht="15" thickBot="1" x14ac:dyDescent="0.25">
      <c r="B17" s="7">
        <v>4</v>
      </c>
      <c r="C17" s="9" t="s">
        <v>75</v>
      </c>
      <c r="E17" s="7">
        <v>4</v>
      </c>
      <c r="F17" s="9" t="s">
        <v>95</v>
      </c>
      <c r="H17" s="7">
        <v>4</v>
      </c>
      <c r="I17" s="9" t="s">
        <v>79</v>
      </c>
      <c r="K17" s="7">
        <v>4</v>
      </c>
      <c r="L17" s="9" t="s">
        <v>81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workbookViewId="0">
      <selection activeCell="F3" sqref="F3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40" width="3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111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69</v>
      </c>
      <c r="F2" s="173" t="s">
        <v>13</v>
      </c>
      <c r="G2" s="173"/>
      <c r="H2" s="173"/>
      <c r="I2" s="77" t="s">
        <v>69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/>
      <c r="G3" s="12" t="s">
        <v>17</v>
      </c>
      <c r="H3" s="21"/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/>
      </c>
      <c r="L3" s="43" t="str">
        <f t="shared" ref="L3:L34" si="2">IF(E3="","",IF(F3="","",IF(M3="empate",I3,"")))</f>
        <v/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/>
      <c r="G4" s="12" t="s">
        <v>17</v>
      </c>
      <c r="H4" s="21"/>
      <c r="I4" s="13" t="str">
        <f>P8</f>
        <v>Inter Miami</v>
      </c>
      <c r="J4" s="42" t="str">
        <f t="shared" si="0"/>
        <v>empate</v>
      </c>
      <c r="K4" s="43" t="str">
        <f t="shared" si="1"/>
        <v/>
      </c>
      <c r="L4" s="43" t="str">
        <f t="shared" si="2"/>
        <v/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69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/>
      <c r="G5" s="12" t="s">
        <v>17</v>
      </c>
      <c r="H5" s="21"/>
      <c r="I5" s="13" t="str">
        <f>P7</f>
        <v>Al-Ahly</v>
      </c>
      <c r="J5" s="42" t="str">
        <f t="shared" si="0"/>
        <v>empate</v>
      </c>
      <c r="K5" s="43" t="str">
        <f t="shared" si="1"/>
        <v/>
      </c>
      <c r="L5" s="43" t="str">
        <f t="shared" si="2"/>
        <v/>
      </c>
      <c r="M5" s="44" t="str">
        <f t="shared" si="3"/>
        <v>empate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0</v>
      </c>
      <c r="R5" s="43">
        <f>SUM(S5:U5)</f>
        <v>0</v>
      </c>
      <c r="S5" s="43">
        <f>COUNTIF(J:J,P5)</f>
        <v>0</v>
      </c>
      <c r="T5" s="43">
        <f>COUNTIF(K:K,P5)+COUNTIF(L:L,P5)</f>
        <v>0</v>
      </c>
      <c r="U5" s="43">
        <f>COUNTIF(M:M,P5)</f>
        <v>0</v>
      </c>
      <c r="V5" s="43">
        <f>SUMIF(E:E,P5,F:F)+SUMIF(I:I,P5,H:H)</f>
        <v>0</v>
      </c>
      <c r="W5" s="43">
        <f>SUMIF(E:E,P5,H:H)+SUMIF(I:I,P5,F:F)</f>
        <v>0</v>
      </c>
      <c r="X5" s="43">
        <f>V5-W5</f>
        <v>0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0</v>
      </c>
      <c r="AH5" s="90">
        <f>VLOOKUP($AE5,$O$5:$X$8,4,FALSE)</f>
        <v>0</v>
      </c>
      <c r="AI5" s="90">
        <f>VLOOKUP($AE5,$O$5:$X$8,5,FALSE)</f>
        <v>0</v>
      </c>
      <c r="AJ5" s="90">
        <f>VLOOKUP($AE5,$O$5:$X$8,6,FALSE)</f>
        <v>0</v>
      </c>
      <c r="AK5" s="90">
        <f>VLOOKUP($AE5,$O$5:$X$8,7,FALSE)</f>
        <v>0</v>
      </c>
      <c r="AL5" s="90">
        <f>VLOOKUP($AE5,$O$5:$X$8,8,FALSE)</f>
        <v>0</v>
      </c>
      <c r="AM5" s="90">
        <f>VLOOKUP($AE5,$O$5:$X$8,9,FALSE)</f>
        <v>0</v>
      </c>
      <c r="AN5" s="91">
        <f>VLOOKUP($AE5,$O$5:$X$8,10,FALSE)</f>
        <v>0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/>
      <c r="G6" s="12" t="s">
        <v>17</v>
      </c>
      <c r="H6" s="21"/>
      <c r="I6" s="13" t="str">
        <f>P6</f>
        <v>Porto</v>
      </c>
      <c r="J6" s="42" t="str">
        <f t="shared" si="0"/>
        <v>empate</v>
      </c>
      <c r="K6" s="43" t="str">
        <f t="shared" si="1"/>
        <v/>
      </c>
      <c r="L6" s="43" t="str">
        <f t="shared" si="2"/>
        <v/>
      </c>
      <c r="M6" s="44" t="str">
        <f t="shared" si="3"/>
        <v>empate</v>
      </c>
      <c r="N6" s="51"/>
      <c r="O6" s="52">
        <f t="shared" ref="O6:O8" si="4">RANK(Q6,$Q$5:$Q$8)+SUM(Y6:AB6)</f>
        <v>2</v>
      </c>
      <c r="P6" s="53" t="str">
        <f>Sorteios!C7</f>
        <v>Porto</v>
      </c>
      <c r="Q6" s="43">
        <f t="shared" ref="Q6:Q8" si="5">(S6*3)+(T6*1)</f>
        <v>0</v>
      </c>
      <c r="R6" s="43">
        <f t="shared" ref="R6:R8" si="6">SUM(S6:U6)</f>
        <v>0</v>
      </c>
      <c r="S6" s="43">
        <f>COUNTIF(J:J,P6)</f>
        <v>0</v>
      </c>
      <c r="T6" s="43">
        <f>COUNTIF(K:K,P6)+COUNTIF(L:L,P6)</f>
        <v>0</v>
      </c>
      <c r="U6" s="43">
        <f>COUNTIF(M:M,P6)</f>
        <v>0</v>
      </c>
      <c r="V6" s="43">
        <f>SUMIF(E:E,P6,F:F)+SUMIF(I:I,P6,H:H)</f>
        <v>0</v>
      </c>
      <c r="W6" s="43">
        <f>SUMIF(E:E,P6,H:H)+SUMIF(I:I,P6,F:F)</f>
        <v>0</v>
      </c>
      <c r="X6" s="43">
        <f t="shared" ref="X6:X8" si="7">V6-W6</f>
        <v>0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1</v>
      </c>
      <c r="AC6" s="44">
        <v>2</v>
      </c>
      <c r="AD6" s="50"/>
      <c r="AE6" s="132">
        <v>2</v>
      </c>
      <c r="AF6" s="83" t="str">
        <f t="shared" ref="AF6:AF8" si="12">VLOOKUP($AE6,$O$5:$X$8,2,FALSE)</f>
        <v>Porto</v>
      </c>
      <c r="AG6" s="90">
        <f t="shared" ref="AG6:AG8" si="13">VLOOKUP($AE6,$O$5:$X$8,3,FALSE)</f>
        <v>0</v>
      </c>
      <c r="AH6" s="90">
        <f t="shared" ref="AH6:AH8" si="14">VLOOKUP($AE6,$O$5:$X$8,4,FALSE)</f>
        <v>0</v>
      </c>
      <c r="AI6" s="90">
        <f t="shared" ref="AI6:AI8" si="15">VLOOKUP($AE6,$O$5:$X$8,5,FALSE)</f>
        <v>0</v>
      </c>
      <c r="AJ6" s="90">
        <f t="shared" ref="AJ6:AJ8" si="16">VLOOKUP($AE6,$O$5:$X$8,6,FALSE)</f>
        <v>0</v>
      </c>
      <c r="AK6" s="90">
        <f t="shared" ref="AK6:AK8" si="17">VLOOKUP($AE6,$O$5:$X$8,7,FALSE)</f>
        <v>0</v>
      </c>
      <c r="AL6" s="90">
        <f t="shared" ref="AL6:AL8" si="18">VLOOKUP($AE6,$O$5:$X$8,8,FALSE)</f>
        <v>0</v>
      </c>
      <c r="AM6" s="90">
        <f t="shared" ref="AM6:AM8" si="19">VLOOKUP($AE6,$O$5:$X$8,9,FALSE)</f>
        <v>0</v>
      </c>
      <c r="AN6" s="91">
        <f t="shared" ref="AN6:AN8" si="20">VLOOKUP($AE6,$O$5:$X$8,10,FALSE)</f>
        <v>0</v>
      </c>
    </row>
    <row r="7" spans="1:40" x14ac:dyDescent="0.25">
      <c r="A7" s="50"/>
      <c r="B7" s="132" t="s">
        <v>15</v>
      </c>
      <c r="C7" s="80">
        <v>45861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3</v>
      </c>
      <c r="P7" s="53" t="str">
        <f>Sorteios!C8</f>
        <v>Al-Ahly</v>
      </c>
      <c r="Q7" s="43">
        <f t="shared" si="5"/>
        <v>0</v>
      </c>
      <c r="R7" s="43">
        <f t="shared" si="6"/>
        <v>0</v>
      </c>
      <c r="S7" s="43">
        <f>COUNTIF(J:J,P7)</f>
        <v>0</v>
      </c>
      <c r="T7" s="43">
        <f>COUNTIF(K:K,P7)+COUNTIF(L:L,P7)</f>
        <v>0</v>
      </c>
      <c r="U7" s="43">
        <f>COUNTIF(M:M,P7)</f>
        <v>0</v>
      </c>
      <c r="V7" s="43">
        <f>SUMIF(E:E,P7,F:F)+SUMIF(I:I,P7,H:H)</f>
        <v>0</v>
      </c>
      <c r="W7" s="43">
        <f>SUMIF(E:E,P7,H:H)+SUMIF(I:I,P7,F:F)</f>
        <v>0</v>
      </c>
      <c r="X7" s="43">
        <f t="shared" si="7"/>
        <v>0</v>
      </c>
      <c r="Y7" s="43">
        <f t="shared" si="8"/>
        <v>0</v>
      </c>
      <c r="Z7" s="43">
        <f t="shared" si="9"/>
        <v>0</v>
      </c>
      <c r="AA7" s="43">
        <f t="shared" si="10"/>
        <v>0</v>
      </c>
      <c r="AB7" s="43">
        <f t="shared" si="11"/>
        <v>2</v>
      </c>
      <c r="AC7" s="44">
        <v>3</v>
      </c>
      <c r="AD7" s="50"/>
      <c r="AE7" s="132">
        <v>3</v>
      </c>
      <c r="AF7" s="83" t="str">
        <f t="shared" si="12"/>
        <v>Al-Ahly</v>
      </c>
      <c r="AG7" s="90">
        <f t="shared" si="13"/>
        <v>0</v>
      </c>
      <c r="AH7" s="90">
        <f t="shared" si="14"/>
        <v>0</v>
      </c>
      <c r="AI7" s="90">
        <f t="shared" si="15"/>
        <v>0</v>
      </c>
      <c r="AJ7" s="90">
        <f t="shared" si="16"/>
        <v>0</v>
      </c>
      <c r="AK7" s="90">
        <f t="shared" si="17"/>
        <v>0</v>
      </c>
      <c r="AL7" s="90">
        <f t="shared" si="18"/>
        <v>0</v>
      </c>
      <c r="AM7" s="90">
        <f t="shared" si="19"/>
        <v>0</v>
      </c>
      <c r="AN7" s="91">
        <f t="shared" si="20"/>
        <v>0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4</v>
      </c>
      <c r="P8" s="53" t="str">
        <f>Sorteios!C9</f>
        <v>Inter Miami</v>
      </c>
      <c r="Q8" s="43">
        <f t="shared" si="5"/>
        <v>0</v>
      </c>
      <c r="R8" s="43">
        <f t="shared" si="6"/>
        <v>0</v>
      </c>
      <c r="S8" s="43">
        <f>COUNTIF(J:J,P8)</f>
        <v>0</v>
      </c>
      <c r="T8" s="43">
        <f>COUNTIF(K:K,P8)+COUNTIF(L:L,P8)</f>
        <v>0</v>
      </c>
      <c r="U8" s="43">
        <f>COUNTIF(M:M,P8)</f>
        <v>0</v>
      </c>
      <c r="V8" s="43">
        <f>SUMIF(E:E,P8,F:F)+SUMIF(I:I,P8,H:H)</f>
        <v>0</v>
      </c>
      <c r="W8" s="43">
        <f>SUMIF(E:E,P8,H:H)+SUMIF(I:I,P8,F:F)</f>
        <v>0</v>
      </c>
      <c r="X8" s="43">
        <f t="shared" si="7"/>
        <v>0</v>
      </c>
      <c r="Y8" s="43">
        <f t="shared" si="8"/>
        <v>0</v>
      </c>
      <c r="Z8" s="43">
        <f t="shared" si="9"/>
        <v>0</v>
      </c>
      <c r="AA8" s="43">
        <f t="shared" si="10"/>
        <v>0</v>
      </c>
      <c r="AB8" s="43">
        <f t="shared" si="11"/>
        <v>3</v>
      </c>
      <c r="AC8" s="58">
        <v>4</v>
      </c>
      <c r="AD8" s="61"/>
      <c r="AE8" s="132">
        <v>4</v>
      </c>
      <c r="AF8" s="84" t="str">
        <f t="shared" si="12"/>
        <v>Inter Miami</v>
      </c>
      <c r="AG8" s="92">
        <f t="shared" si="13"/>
        <v>0</v>
      </c>
      <c r="AH8" s="92">
        <f t="shared" si="14"/>
        <v>0</v>
      </c>
      <c r="AI8" s="92">
        <f t="shared" si="15"/>
        <v>0</v>
      </c>
      <c r="AJ8" s="92">
        <f t="shared" si="16"/>
        <v>0</v>
      </c>
      <c r="AK8" s="92">
        <f t="shared" si="17"/>
        <v>0</v>
      </c>
      <c r="AL8" s="92">
        <f t="shared" si="18"/>
        <v>0</v>
      </c>
      <c r="AM8" s="92">
        <f t="shared" si="19"/>
        <v>0</v>
      </c>
      <c r="AN8" s="93">
        <f t="shared" si="20"/>
        <v>0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/>
      <c r="G9" s="99" t="s">
        <v>17</v>
      </c>
      <c r="H9" s="21"/>
      <c r="I9" s="85" t="str">
        <f>P12</f>
        <v>Atlétido de Madrid</v>
      </c>
      <c r="J9" s="63" t="str">
        <f t="shared" si="0"/>
        <v>empate</v>
      </c>
      <c r="K9" s="64" t="str">
        <f t="shared" si="1"/>
        <v/>
      </c>
      <c r="L9" s="64" t="str">
        <f t="shared" si="2"/>
        <v/>
      </c>
      <c r="M9" s="65" t="str">
        <f t="shared" si="3"/>
        <v>empate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/>
      <c r="G10" s="90" t="s">
        <v>17</v>
      </c>
      <c r="H10" s="21"/>
      <c r="I10" s="26" t="str">
        <f>P14</f>
        <v>Seattle Sounders</v>
      </c>
      <c r="J10" s="42" t="str">
        <f t="shared" si="0"/>
        <v>empate</v>
      </c>
      <c r="K10" s="43" t="str">
        <f t="shared" si="1"/>
        <v/>
      </c>
      <c r="L10" s="43" t="str">
        <f t="shared" si="2"/>
        <v/>
      </c>
      <c r="M10" s="44" t="str">
        <f t="shared" si="3"/>
        <v>empate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69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/>
      <c r="G11" s="90" t="s">
        <v>17</v>
      </c>
      <c r="H11" s="21"/>
      <c r="I11" s="26" t="str">
        <f>P13</f>
        <v>Botafogo</v>
      </c>
      <c r="J11" s="42" t="str">
        <f t="shared" si="0"/>
        <v>empate</v>
      </c>
      <c r="K11" s="43" t="str">
        <f t="shared" si="1"/>
        <v/>
      </c>
      <c r="L11" s="43" t="str">
        <f t="shared" si="2"/>
        <v/>
      </c>
      <c r="M11" s="44" t="str">
        <f t="shared" si="3"/>
        <v>empate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0</v>
      </c>
      <c r="R11" s="43">
        <f>SUM(S11:U11)</f>
        <v>0</v>
      </c>
      <c r="S11" s="43">
        <f>COUNTIF(J:J,P11)</f>
        <v>0</v>
      </c>
      <c r="T11" s="43">
        <f>COUNTIF(K:K,P11)+COUNTIF(L:L,P11)</f>
        <v>0</v>
      </c>
      <c r="U11" s="43">
        <f>COUNTIF(M:M,P11)</f>
        <v>0</v>
      </c>
      <c r="V11" s="43">
        <f>SUMIF(E:E,P11,F:F)+SUMIF(I:I,P11,H:H)</f>
        <v>0</v>
      </c>
      <c r="W11" s="43">
        <f>SUMIF(E:E,P11,H:H)+SUMIF(I:I,P11,F:F)</f>
        <v>0</v>
      </c>
      <c r="X11" s="43">
        <f>V11-W11</f>
        <v>0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0</v>
      </c>
      <c r="AH11" s="90">
        <f>VLOOKUP($AE11,$O$11:$X$14,4,FALSE)</f>
        <v>0</v>
      </c>
      <c r="AI11" s="90">
        <f>VLOOKUP($AE11,$O$11:$X$14,5,FALSE)</f>
        <v>0</v>
      </c>
      <c r="AJ11" s="90">
        <f>VLOOKUP($AE11,$O$11:$X$14,6,FALSE)</f>
        <v>0</v>
      </c>
      <c r="AK11" s="90">
        <f>VLOOKUP($AE11,$O$11:$X$14,7,FALSE)</f>
        <v>0</v>
      </c>
      <c r="AL11" s="90">
        <f>VLOOKUP($AE11,$O$11:$X$14,8,FALSE)</f>
        <v>0</v>
      </c>
      <c r="AM11" s="90">
        <f>VLOOKUP($AE11,$O$11:$X$14,9,FALSE)</f>
        <v>0</v>
      </c>
      <c r="AN11" s="91">
        <f>VLOOKUP($AE11,$O$11:$X$14,10,FALSE)</f>
        <v>0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/>
      <c r="G12" s="90" t="s">
        <v>17</v>
      </c>
      <c r="H12" s="21"/>
      <c r="I12" s="26" t="str">
        <f>P12</f>
        <v>Atlétido de Madrid</v>
      </c>
      <c r="J12" s="42" t="str">
        <f t="shared" si="0"/>
        <v>empate</v>
      </c>
      <c r="K12" s="43" t="str">
        <f t="shared" si="1"/>
        <v/>
      </c>
      <c r="L12" s="43" t="str">
        <f t="shared" si="2"/>
        <v/>
      </c>
      <c r="M12" s="44" t="str">
        <f t="shared" si="3"/>
        <v>empate</v>
      </c>
      <c r="N12" s="51"/>
      <c r="O12" s="52">
        <f t="shared" ref="O12:O14" si="21">RANK(Q12,$Q$11:$Q$14)+SUM(Y12:AB12)</f>
        <v>2</v>
      </c>
      <c r="P12" s="53" t="str">
        <f>Sorteios!F7</f>
        <v>Atlétido de Madrid</v>
      </c>
      <c r="Q12" s="43">
        <f t="shared" ref="Q12:Q14" si="22">(S12*3)+(T12*1)</f>
        <v>0</v>
      </c>
      <c r="R12" s="43">
        <f t="shared" ref="R12:R14" si="23">SUM(S12:U12)</f>
        <v>0</v>
      </c>
      <c r="S12" s="43">
        <f>COUNTIF(J:J,P12)</f>
        <v>0</v>
      </c>
      <c r="T12" s="43">
        <f>COUNTIF(K:K,P12)+COUNTIF(L:L,P12)</f>
        <v>0</v>
      </c>
      <c r="U12" s="43">
        <f>COUNTIF(M:M,P12)</f>
        <v>0</v>
      </c>
      <c r="V12" s="43">
        <f>SUMIF(E:E,P12,F:F)+SUMIF(I:I,P12,H:H)</f>
        <v>0</v>
      </c>
      <c r="W12" s="43">
        <f>SUMIF(E:E,P12,H:H)+SUMIF(I:I,P12,F:F)</f>
        <v>0</v>
      </c>
      <c r="X12" s="43">
        <f t="shared" ref="X12:X14" si="24">V12-W12</f>
        <v>0</v>
      </c>
      <c r="Y12" s="43">
        <f t="shared" ref="Y12:Y14" si="25">SUMPRODUCT(($Q$11:$Q$14=Q12)*($X$11:$X$14&gt;X12))</f>
        <v>0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1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Atlétido de Madrid</v>
      </c>
      <c r="AG12" s="90">
        <f t="shared" ref="AG12:AG14" si="30">VLOOKUP($AE12,$O$11:$X$14,3,FALSE)</f>
        <v>0</v>
      </c>
      <c r="AH12" s="90">
        <f t="shared" ref="AH12:AH14" si="31">VLOOKUP($AE12,$O$11:$X$14,4,FALSE)</f>
        <v>0</v>
      </c>
      <c r="AI12" s="90">
        <f t="shared" ref="AI12:AI14" si="32">VLOOKUP($AE12,$O$11:$X$14,5,FALSE)</f>
        <v>0</v>
      </c>
      <c r="AJ12" s="90">
        <f t="shared" ref="AJ12:AJ14" si="33">VLOOKUP($AE12,$O$11:$X$14,6,FALSE)</f>
        <v>0</v>
      </c>
      <c r="AK12" s="90">
        <f t="shared" ref="AK12:AK14" si="34">VLOOKUP($AE12,$O$11:$X$14,7,FALSE)</f>
        <v>0</v>
      </c>
      <c r="AL12" s="90">
        <f t="shared" ref="AL12:AL14" si="35">VLOOKUP($AE12,$O$11:$X$14,8,FALSE)</f>
        <v>0</v>
      </c>
      <c r="AM12" s="90">
        <f t="shared" ref="AM12:AM14" si="36">VLOOKUP($AE12,$O$11:$X$14,9,FALSE)</f>
        <v>0</v>
      </c>
      <c r="AN12" s="91">
        <f t="shared" ref="AN12:AN14" si="37">VLOOKUP($AE12,$O$11:$X$14,10,FALSE)</f>
        <v>0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/>
      <c r="G13" s="90" t="s">
        <v>17</v>
      </c>
      <c r="H13" s="21"/>
      <c r="I13" s="26" t="str">
        <f>P11</f>
        <v>Paris Saint-Germain</v>
      </c>
      <c r="J13" s="42" t="str">
        <f t="shared" si="0"/>
        <v>empate</v>
      </c>
      <c r="K13" s="43" t="str">
        <f t="shared" si="1"/>
        <v/>
      </c>
      <c r="L13" s="43" t="str">
        <f t="shared" si="2"/>
        <v/>
      </c>
      <c r="M13" s="44" t="str">
        <f t="shared" si="3"/>
        <v>empate</v>
      </c>
      <c r="N13" s="51"/>
      <c r="O13" s="52">
        <f t="shared" si="21"/>
        <v>3</v>
      </c>
      <c r="P13" s="53" t="str">
        <f>Sorteios!F8</f>
        <v>Botafogo</v>
      </c>
      <c r="Q13" s="43">
        <f t="shared" si="22"/>
        <v>0</v>
      </c>
      <c r="R13" s="43">
        <f t="shared" si="23"/>
        <v>0</v>
      </c>
      <c r="S13" s="43">
        <f>COUNTIF(J:J,P13)</f>
        <v>0</v>
      </c>
      <c r="T13" s="43">
        <f>COUNTIF(K:K,P13)+COUNTIF(L:L,P13)</f>
        <v>0</v>
      </c>
      <c r="U13" s="43">
        <f>COUNTIF(M:M,P13)</f>
        <v>0</v>
      </c>
      <c r="V13" s="43">
        <f>SUMIF(E:E,P13,F:F)+SUMIF(I:I,P13,H:H)</f>
        <v>0</v>
      </c>
      <c r="W13" s="43">
        <f>SUMIF(E:E,P13,H:H)+SUMIF(I:I,P13,F:F)</f>
        <v>0</v>
      </c>
      <c r="X13" s="43">
        <f t="shared" si="24"/>
        <v>0</v>
      </c>
      <c r="Y13" s="43">
        <f t="shared" si="25"/>
        <v>0</v>
      </c>
      <c r="Z13" s="43">
        <f t="shared" si="26"/>
        <v>0</v>
      </c>
      <c r="AA13" s="43">
        <f t="shared" si="27"/>
        <v>0</v>
      </c>
      <c r="AB13" s="43">
        <f t="shared" si="28"/>
        <v>2</v>
      </c>
      <c r="AC13" s="44">
        <v>3</v>
      </c>
      <c r="AD13" s="50"/>
      <c r="AE13" s="132">
        <v>3</v>
      </c>
      <c r="AF13" s="83" t="str">
        <f t="shared" si="29"/>
        <v>Botafogo</v>
      </c>
      <c r="AG13" s="90">
        <f t="shared" si="30"/>
        <v>0</v>
      </c>
      <c r="AH13" s="90">
        <f t="shared" si="31"/>
        <v>0</v>
      </c>
      <c r="AI13" s="90">
        <f t="shared" si="32"/>
        <v>0</v>
      </c>
      <c r="AJ13" s="90">
        <f t="shared" si="33"/>
        <v>0</v>
      </c>
      <c r="AK13" s="90">
        <f t="shared" si="34"/>
        <v>0</v>
      </c>
      <c r="AL13" s="90">
        <f t="shared" si="35"/>
        <v>0</v>
      </c>
      <c r="AM13" s="90">
        <f t="shared" si="36"/>
        <v>0</v>
      </c>
      <c r="AN13" s="91">
        <f t="shared" si="37"/>
        <v>0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Atlétido de Madrid</v>
      </c>
      <c r="F14" s="22"/>
      <c r="G14" s="92" t="s">
        <v>17</v>
      </c>
      <c r="H14" s="22"/>
      <c r="I14" s="27" t="str">
        <f>P13</f>
        <v>Botafogo</v>
      </c>
      <c r="J14" s="56" t="str">
        <f t="shared" si="0"/>
        <v>empate</v>
      </c>
      <c r="K14" s="57" t="str">
        <f t="shared" si="1"/>
        <v/>
      </c>
      <c r="L14" s="57" t="str">
        <f t="shared" si="2"/>
        <v/>
      </c>
      <c r="M14" s="58" t="str">
        <f t="shared" si="3"/>
        <v>empate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0</v>
      </c>
      <c r="S14" s="43">
        <f>COUNTIF(J:J,P14)</f>
        <v>0</v>
      </c>
      <c r="T14" s="43">
        <f>COUNTIF(K:K,P14)+COUNTIF(L:L,P14)</f>
        <v>0</v>
      </c>
      <c r="U14" s="43">
        <f>COUNTIF(M:M,P14)</f>
        <v>0</v>
      </c>
      <c r="V14" s="57">
        <f>SUMIF(E:E,P14,F:F)+SUMIF(I:I,P14,H:H)</f>
        <v>0</v>
      </c>
      <c r="W14" s="57">
        <f>SUMIF(E:E,P14,H:H)+SUMIF(I:I,P14,F:F)</f>
        <v>0</v>
      </c>
      <c r="X14" s="57">
        <f t="shared" si="24"/>
        <v>0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3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0</v>
      </c>
      <c r="AI14" s="92">
        <f t="shared" si="32"/>
        <v>0</v>
      </c>
      <c r="AJ14" s="92">
        <f t="shared" si="33"/>
        <v>0</v>
      </c>
      <c r="AK14" s="92">
        <f t="shared" si="34"/>
        <v>0</v>
      </c>
      <c r="AL14" s="92">
        <f t="shared" si="35"/>
        <v>0</v>
      </c>
      <c r="AM14" s="92">
        <f t="shared" si="36"/>
        <v>0</v>
      </c>
      <c r="AN14" s="93">
        <f t="shared" si="37"/>
        <v>0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/>
      <c r="G15" s="12" t="s">
        <v>17</v>
      </c>
      <c r="H15" s="21"/>
      <c r="I15" s="13" t="str">
        <f>P18</f>
        <v>Auckland City</v>
      </c>
      <c r="J15" s="63" t="str">
        <f t="shared" si="0"/>
        <v>empate</v>
      </c>
      <c r="K15" s="64" t="str">
        <f t="shared" si="1"/>
        <v/>
      </c>
      <c r="L15" s="64" t="str">
        <f t="shared" si="2"/>
        <v/>
      </c>
      <c r="M15" s="65" t="str">
        <f t="shared" si="3"/>
        <v>empate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/>
      <c r="G16" s="12" t="s">
        <v>17</v>
      </c>
      <c r="H16" s="21"/>
      <c r="I16" s="13" t="str">
        <f>P20</f>
        <v>Benfica</v>
      </c>
      <c r="J16" s="42" t="str">
        <f t="shared" si="0"/>
        <v>empate</v>
      </c>
      <c r="K16" s="43" t="str">
        <f t="shared" si="1"/>
        <v/>
      </c>
      <c r="L16" s="43" t="str">
        <f t="shared" si="2"/>
        <v/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69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/>
      <c r="G17" s="12" t="s">
        <v>17</v>
      </c>
      <c r="H17" s="21"/>
      <c r="I17" s="13" t="str">
        <f>P19</f>
        <v>Boca Juniors</v>
      </c>
      <c r="J17" s="42" t="str">
        <f t="shared" si="0"/>
        <v>empate</v>
      </c>
      <c r="K17" s="43" t="str">
        <f t="shared" si="1"/>
        <v/>
      </c>
      <c r="L17" s="43" t="str">
        <f t="shared" si="2"/>
        <v/>
      </c>
      <c r="M17" s="44" t="str">
        <f t="shared" si="3"/>
        <v>empate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0</v>
      </c>
      <c r="R17" s="43">
        <f>SUM(S17:U17)</f>
        <v>0</v>
      </c>
      <c r="S17" s="43">
        <f>COUNTIF(J:J,P17)</f>
        <v>0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0</v>
      </c>
      <c r="W17" s="43">
        <f>SUMIF(E:E,P17,H:H)+SUMIF(I:I,P17,F:F)</f>
        <v>0</v>
      </c>
      <c r="X17" s="43">
        <f>V17-W17</f>
        <v>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0</v>
      </c>
      <c r="AH17" s="90">
        <f>VLOOKUP($AE17,$O$17:$X$20,4,FALSE)</f>
        <v>0</v>
      </c>
      <c r="AI17" s="90">
        <f>VLOOKUP($AE17,$O$17:$X$20,5,FALSE)</f>
        <v>0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0</v>
      </c>
      <c r="AM17" s="90">
        <f>VLOOKUP($AE17,$O$17:$X$20,9,FALSE)</f>
        <v>0</v>
      </c>
      <c r="AN17" s="91">
        <f>VLOOKUP($AE17,$O$17:$X$20,10,FALSE)</f>
        <v>0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/>
      <c r="G18" s="12" t="s">
        <v>17</v>
      </c>
      <c r="H18" s="21"/>
      <c r="I18" s="13" t="str">
        <f>P18</f>
        <v>Auckland City</v>
      </c>
      <c r="J18" s="42" t="str">
        <f t="shared" si="0"/>
        <v>empate</v>
      </c>
      <c r="K18" s="43" t="str">
        <f t="shared" si="1"/>
        <v/>
      </c>
      <c r="L18" s="43" t="str">
        <f t="shared" si="2"/>
        <v/>
      </c>
      <c r="M18" s="44" t="str">
        <f t="shared" si="3"/>
        <v>empate</v>
      </c>
      <c r="N18" s="51"/>
      <c r="O18" s="52">
        <f t="shared" ref="O18:O20" si="38">RANK(Q18,$Q$17:$Q$20)+SUM(Y18:AB18)</f>
        <v>2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0</v>
      </c>
      <c r="S18" s="43">
        <f>COUNTIF(J:J,P18)</f>
        <v>0</v>
      </c>
      <c r="T18" s="43">
        <f>COUNTIF(K:K,P18)+COUNTIF(L:L,P18)</f>
        <v>0</v>
      </c>
      <c r="U18" s="43">
        <f>COUNTIF(M:M,P18)</f>
        <v>0</v>
      </c>
      <c r="V18" s="43">
        <f>SUMIF(E:E,P18,F:F)+SUMIF(I:I,P18,H:H)</f>
        <v>0</v>
      </c>
      <c r="W18" s="43">
        <f>SUMIF(E:E,P18,H:H)+SUMIF(I:I,P18,F:F)</f>
        <v>0</v>
      </c>
      <c r="X18" s="43">
        <f t="shared" ref="X18:X20" si="41">V18-W18</f>
        <v>0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1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Auckland City</v>
      </c>
      <c r="AG18" s="90">
        <f t="shared" ref="AG18:AG20" si="47">VLOOKUP($AE18,$O$17:$X$20,3,FALSE)</f>
        <v>0</v>
      </c>
      <c r="AH18" s="90">
        <f t="shared" ref="AH18:AH20" si="48">VLOOKUP($AE18,$O$17:$X$20,4,FALSE)</f>
        <v>0</v>
      </c>
      <c r="AI18" s="90">
        <f t="shared" ref="AI18:AI20" si="49">VLOOKUP($AE18,$O$17:$X$20,5,FALSE)</f>
        <v>0</v>
      </c>
      <c r="AJ18" s="90">
        <f t="shared" ref="AJ18:AJ20" si="50">VLOOKUP($AE18,$O$17:$X$20,6,FALSE)</f>
        <v>0</v>
      </c>
      <c r="AK18" s="90">
        <f t="shared" ref="AK18:AK20" si="51">VLOOKUP($AE18,$O$17:$X$20,7,FALSE)</f>
        <v>0</v>
      </c>
      <c r="AL18" s="90">
        <f t="shared" ref="AL18:AL20" si="52">VLOOKUP($AE18,$O$17:$X$20,8,FALSE)</f>
        <v>0</v>
      </c>
      <c r="AM18" s="90">
        <f t="shared" ref="AM18:AM20" si="53">VLOOKUP($AE18,$O$17:$X$20,9,FALSE)</f>
        <v>0</v>
      </c>
      <c r="AN18" s="91">
        <f t="shared" ref="AN18:AN20" si="54">VLOOKUP($AE18,$O$17:$X$20,10,FALSE)</f>
        <v>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0</v>
      </c>
      <c r="R19" s="43">
        <f t="shared" si="40"/>
        <v>0</v>
      </c>
      <c r="S19" s="43">
        <f>COUNTIF(J:J,P19)</f>
        <v>0</v>
      </c>
      <c r="T19" s="43">
        <f>COUNTIF(K:K,P19)+COUNTIF(L:L,P19)</f>
        <v>0</v>
      </c>
      <c r="U19" s="43">
        <f>COUNTIF(M:M,P19)</f>
        <v>0</v>
      </c>
      <c r="V19" s="43">
        <f>SUMIF(E:E,P19,F:F)+SUMIF(I:I,P19,H:H)</f>
        <v>0</v>
      </c>
      <c r="W19" s="43">
        <f>SUMIF(E:E,P19,H:H)+SUMIF(I:I,P19,F:F)</f>
        <v>0</v>
      </c>
      <c r="X19" s="43">
        <f t="shared" si="41"/>
        <v>0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2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0</v>
      </c>
      <c r="AH19" s="90">
        <f t="shared" si="48"/>
        <v>0</v>
      </c>
      <c r="AI19" s="90">
        <f t="shared" si="49"/>
        <v>0</v>
      </c>
      <c r="AJ19" s="90">
        <f t="shared" si="50"/>
        <v>0</v>
      </c>
      <c r="AK19" s="90">
        <f t="shared" si="51"/>
        <v>0</v>
      </c>
      <c r="AL19" s="90">
        <f t="shared" si="52"/>
        <v>0</v>
      </c>
      <c r="AM19" s="90">
        <f t="shared" si="53"/>
        <v>0</v>
      </c>
      <c r="AN19" s="91">
        <f t="shared" si="54"/>
        <v>0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4</v>
      </c>
      <c r="P20" s="53" t="str">
        <f>Sorteios!I9</f>
        <v>Benfica</v>
      </c>
      <c r="Q20" s="57">
        <f t="shared" si="39"/>
        <v>0</v>
      </c>
      <c r="R20" s="57">
        <f t="shared" si="40"/>
        <v>0</v>
      </c>
      <c r="S20" s="43">
        <f>COUNTIF(J:J,P20)</f>
        <v>0</v>
      </c>
      <c r="T20" s="43">
        <f>COUNTIF(K:K,P20)+COUNTIF(L:L,P20)</f>
        <v>0</v>
      </c>
      <c r="U20" s="43">
        <f>COUNTIF(M:M,P20)</f>
        <v>0</v>
      </c>
      <c r="V20" s="57">
        <f>SUMIF(E:E,P20,F:F)+SUMIF(I:I,P20,H:H)</f>
        <v>0</v>
      </c>
      <c r="W20" s="57">
        <f>SUMIF(E:E,P20,H:H)+SUMIF(I:I,P20,F:F)</f>
        <v>0</v>
      </c>
      <c r="X20" s="57">
        <f t="shared" si="41"/>
        <v>0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3</v>
      </c>
      <c r="AC20" s="58">
        <v>4</v>
      </c>
      <c r="AD20" s="61"/>
      <c r="AE20" s="132">
        <v>4</v>
      </c>
      <c r="AF20" s="84" t="str">
        <f t="shared" si="46"/>
        <v>Benfica</v>
      </c>
      <c r="AG20" s="92">
        <f t="shared" si="47"/>
        <v>0</v>
      </c>
      <c r="AH20" s="92">
        <f t="shared" si="48"/>
        <v>0</v>
      </c>
      <c r="AI20" s="92">
        <f t="shared" si="49"/>
        <v>0</v>
      </c>
      <c r="AJ20" s="92">
        <f t="shared" si="50"/>
        <v>0</v>
      </c>
      <c r="AK20" s="92">
        <f t="shared" si="51"/>
        <v>0</v>
      </c>
      <c r="AL20" s="92">
        <f t="shared" si="52"/>
        <v>0</v>
      </c>
      <c r="AM20" s="92">
        <f t="shared" si="53"/>
        <v>0</v>
      </c>
      <c r="AN20" s="93">
        <f t="shared" si="54"/>
        <v>0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/>
      <c r="G21" s="99" t="s">
        <v>17</v>
      </c>
      <c r="H21" s="21"/>
      <c r="I21" s="85" t="str">
        <f>P24</f>
        <v>Espérance de Tunis</v>
      </c>
      <c r="J21" s="63" t="str">
        <f t="shared" si="0"/>
        <v>empate</v>
      </c>
      <c r="K21" s="64" t="str">
        <f t="shared" si="1"/>
        <v/>
      </c>
      <c r="L21" s="64" t="str">
        <f t="shared" si="2"/>
        <v/>
      </c>
      <c r="M21" s="65" t="str">
        <f t="shared" si="3"/>
        <v>empate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/>
      <c r="G22" s="90" t="s">
        <v>17</v>
      </c>
      <c r="H22" s="21"/>
      <c r="I22" s="26" t="str">
        <f>P26</f>
        <v>D4</v>
      </c>
      <c r="J22" s="42" t="str">
        <f t="shared" si="0"/>
        <v>empate</v>
      </c>
      <c r="K22" s="43" t="str">
        <f t="shared" si="1"/>
        <v/>
      </c>
      <c r="L22" s="43" t="str">
        <f t="shared" si="2"/>
        <v/>
      </c>
      <c r="M22" s="44" t="str">
        <f t="shared" si="3"/>
        <v>empate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69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/>
      <c r="G23" s="90" t="s">
        <v>17</v>
      </c>
      <c r="H23" s="21"/>
      <c r="I23" s="26" t="str">
        <f>P25</f>
        <v>Chelsea</v>
      </c>
      <c r="J23" s="42" t="str">
        <f t="shared" si="0"/>
        <v>empate</v>
      </c>
      <c r="K23" s="43" t="str">
        <f t="shared" si="1"/>
        <v/>
      </c>
      <c r="L23" s="43" t="str">
        <f t="shared" si="2"/>
        <v/>
      </c>
      <c r="M23" s="44" t="str">
        <f t="shared" si="3"/>
        <v>empate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0</v>
      </c>
      <c r="R23" s="43">
        <f>SUM(S23:U23)</f>
        <v>0</v>
      </c>
      <c r="S23" s="43">
        <f>COUNTIF(J:J,P23)</f>
        <v>0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0</v>
      </c>
      <c r="W23" s="43">
        <f>SUMIF(E:E,P23,H:H)+SUMIF(I:I,P23,F:F)</f>
        <v>0</v>
      </c>
      <c r="X23" s="43">
        <f>V23-W23</f>
        <v>0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0</v>
      </c>
      <c r="AH23" s="90">
        <f>VLOOKUP($AE23,$O$23:$X$26,4,FALSE)</f>
        <v>0</v>
      </c>
      <c r="AI23" s="90">
        <f>VLOOKUP($AE23,$O$23:$X$26,5,FALSE)</f>
        <v>0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0</v>
      </c>
      <c r="AM23" s="90">
        <f>VLOOKUP($AE23,$O$23:$X$26,9,FALSE)</f>
        <v>0</v>
      </c>
      <c r="AN23" s="91">
        <f>VLOOKUP($AE23,$O$23:$X$26,10,FALSE)</f>
        <v>0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D4</v>
      </c>
      <c r="F24" s="21"/>
      <c r="G24" s="90" t="s">
        <v>17</v>
      </c>
      <c r="H24" s="21"/>
      <c r="I24" s="26" t="str">
        <f>P24</f>
        <v>Espérance de Tunis</v>
      </c>
      <c r="J24" s="42" t="str">
        <f t="shared" si="0"/>
        <v>empate</v>
      </c>
      <c r="K24" s="43" t="str">
        <f t="shared" si="1"/>
        <v/>
      </c>
      <c r="L24" s="43" t="str">
        <f t="shared" si="2"/>
        <v/>
      </c>
      <c r="M24" s="44" t="str">
        <f t="shared" si="3"/>
        <v>empate</v>
      </c>
      <c r="N24" s="50"/>
      <c r="O24" s="52">
        <f t="shared" ref="O24:O26" si="55">RANK(Q24,$Q$23:$Q$26)+SUM(Y24:AB24)</f>
        <v>2</v>
      </c>
      <c r="P24" s="53" t="str">
        <f>Sorteios!L7</f>
        <v>Espérance de Tunis</v>
      </c>
      <c r="Q24" s="43">
        <f t="shared" ref="Q24:Q26" si="56">(S24*3)+(T24*1)</f>
        <v>0</v>
      </c>
      <c r="R24" s="43">
        <f t="shared" ref="R24:R26" si="57">SUM(S24:U24)</f>
        <v>0</v>
      </c>
      <c r="S24" s="43">
        <f>COUNTIF(J:J,P24)</f>
        <v>0</v>
      </c>
      <c r="T24" s="43">
        <f>COUNTIF(K:K,P24)+COUNTIF(L:L,P24)</f>
        <v>0</v>
      </c>
      <c r="U24" s="43">
        <f>COUNTIF(M:M,P24)</f>
        <v>0</v>
      </c>
      <c r="V24" s="43">
        <f>SUMIF(E:E,P24,F:F)+SUMIF(I:I,P24,H:H)</f>
        <v>0</v>
      </c>
      <c r="W24" s="43">
        <f>SUMIF(E:E,P24,H:H)+SUMIF(I:I,P24,F:F)</f>
        <v>0</v>
      </c>
      <c r="X24" s="43">
        <f t="shared" ref="X24:X26" si="58">V24-W24</f>
        <v>0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1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Espérance de Tunis</v>
      </c>
      <c r="AG24" s="90">
        <f t="shared" ref="AG24:AG26" si="64">VLOOKUP($AE24,$O$23:$X$26,3,FALSE)</f>
        <v>0</v>
      </c>
      <c r="AH24" s="90">
        <f t="shared" ref="AH24:AH26" si="65">VLOOKUP($AE24,$O$23:$X$26,4,FALSE)</f>
        <v>0</v>
      </c>
      <c r="AI24" s="90">
        <f t="shared" ref="AI24:AI26" si="66">VLOOKUP($AE24,$O$23:$X$26,5,FALSE)</f>
        <v>0</v>
      </c>
      <c r="AJ24" s="90">
        <f t="shared" ref="AJ24:AJ26" si="67">VLOOKUP($AE24,$O$23:$X$26,6,FALSE)</f>
        <v>0</v>
      </c>
      <c r="AK24" s="90">
        <f t="shared" ref="AK24:AK26" si="68">VLOOKUP($AE24,$O$23:$X$26,7,FALSE)</f>
        <v>0</v>
      </c>
      <c r="AL24" s="90">
        <f t="shared" ref="AL24:AL26" si="69">VLOOKUP($AE24,$O$23:$X$26,8,FALSE)</f>
        <v>0</v>
      </c>
      <c r="AM24" s="90">
        <f t="shared" ref="AM24:AM26" si="70">VLOOKUP($AE24,$O$23:$X$26,9,FALSE)</f>
        <v>0</v>
      </c>
      <c r="AN24" s="91">
        <f t="shared" ref="AN24:AN26" si="71">VLOOKUP($AE24,$O$23:$X$26,10,FALSE)</f>
        <v>0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D4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3</v>
      </c>
      <c r="P25" s="53" t="str">
        <f>Sorteios!L8</f>
        <v>Chelsea</v>
      </c>
      <c r="Q25" s="43">
        <f t="shared" si="56"/>
        <v>0</v>
      </c>
      <c r="R25" s="43">
        <f t="shared" si="57"/>
        <v>0</v>
      </c>
      <c r="S25" s="43">
        <f>COUNTIF(J:J,P25)</f>
        <v>0</v>
      </c>
      <c r="T25" s="43">
        <f>COUNTIF(K:K,P25)+COUNTIF(L:L,P25)</f>
        <v>0</v>
      </c>
      <c r="U25" s="43">
        <f>COUNTIF(M:M,P25)</f>
        <v>0</v>
      </c>
      <c r="V25" s="43">
        <f>SUMIF(E:E,P25,F:F)+SUMIF(I:I,P25,H:H)</f>
        <v>0</v>
      </c>
      <c r="W25" s="43">
        <f>SUMIF(E:E,P25,H:H)+SUMIF(I:I,P25,F:F)</f>
        <v>0</v>
      </c>
      <c r="X25" s="43">
        <f t="shared" si="58"/>
        <v>0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2</v>
      </c>
      <c r="AC25" s="44">
        <v>3</v>
      </c>
      <c r="AD25" s="50"/>
      <c r="AE25" s="132">
        <v>3</v>
      </c>
      <c r="AF25" s="83" t="str">
        <f t="shared" si="63"/>
        <v>Chelsea</v>
      </c>
      <c r="AG25" s="90">
        <f t="shared" si="64"/>
        <v>0</v>
      </c>
      <c r="AH25" s="90">
        <f t="shared" si="65"/>
        <v>0</v>
      </c>
      <c r="AI25" s="90">
        <f t="shared" si="66"/>
        <v>0</v>
      </c>
      <c r="AJ25" s="90">
        <f t="shared" si="67"/>
        <v>0</v>
      </c>
      <c r="AK25" s="90">
        <f t="shared" si="68"/>
        <v>0</v>
      </c>
      <c r="AL25" s="90">
        <f t="shared" si="69"/>
        <v>0</v>
      </c>
      <c r="AM25" s="90">
        <f t="shared" si="70"/>
        <v>0</v>
      </c>
      <c r="AN25" s="91">
        <f t="shared" si="71"/>
        <v>0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D4</v>
      </c>
      <c r="Q26" s="57">
        <f t="shared" si="56"/>
        <v>0</v>
      </c>
      <c r="R26" s="57">
        <f t="shared" si="57"/>
        <v>0</v>
      </c>
      <c r="S26" s="43">
        <f>COUNTIF(J:J,P26)</f>
        <v>0</v>
      </c>
      <c r="T26" s="43">
        <f>COUNTIF(K:K,P26)+COUNTIF(L:L,P26)</f>
        <v>0</v>
      </c>
      <c r="U26" s="43">
        <f>COUNTIF(M:M,P26)</f>
        <v>0</v>
      </c>
      <c r="V26" s="57">
        <f>SUMIF(E:E,P26,F:F)+SUMIF(I:I,P26,H:H)</f>
        <v>0</v>
      </c>
      <c r="W26" s="57">
        <f>SUMIF(E:E,P26,H:H)+SUMIF(I:I,P26,F:F)</f>
        <v>0</v>
      </c>
      <c r="X26" s="57">
        <f t="shared" si="58"/>
        <v>0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3</v>
      </c>
      <c r="AC26" s="58">
        <v>4</v>
      </c>
      <c r="AD26" s="61"/>
      <c r="AE26" s="132">
        <v>4</v>
      </c>
      <c r="AF26" s="84" t="str">
        <f t="shared" si="63"/>
        <v>D4</v>
      </c>
      <c r="AG26" s="92">
        <f t="shared" si="64"/>
        <v>0</v>
      </c>
      <c r="AH26" s="92">
        <f t="shared" si="65"/>
        <v>0</v>
      </c>
      <c r="AI26" s="92">
        <f t="shared" si="66"/>
        <v>0</v>
      </c>
      <c r="AJ26" s="92">
        <f t="shared" si="67"/>
        <v>0</v>
      </c>
      <c r="AK26" s="92">
        <f t="shared" si="68"/>
        <v>0</v>
      </c>
      <c r="AL26" s="92">
        <f t="shared" si="69"/>
        <v>0</v>
      </c>
      <c r="AM26" s="92">
        <f t="shared" si="70"/>
        <v>0</v>
      </c>
      <c r="AN26" s="93">
        <f t="shared" si="71"/>
        <v>0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/>
      <c r="G27" s="12" t="s">
        <v>17</v>
      </c>
      <c r="H27" s="21"/>
      <c r="I27" s="13" t="str">
        <f>P30</f>
        <v>Urawa Red Diamonds</v>
      </c>
      <c r="J27" s="63" t="str">
        <f t="shared" si="0"/>
        <v>empate</v>
      </c>
      <c r="K27" s="64" t="str">
        <f t="shared" si="1"/>
        <v/>
      </c>
      <c r="L27" s="64" t="str">
        <f t="shared" si="2"/>
        <v/>
      </c>
      <c r="M27" s="65" t="str">
        <f t="shared" si="3"/>
        <v>empate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/>
      <c r="G28" s="12" t="s">
        <v>17</v>
      </c>
      <c r="H28" s="21"/>
      <c r="I28" s="13" t="str">
        <f>P32</f>
        <v>Internazionale</v>
      </c>
      <c r="J28" s="42" t="str">
        <f t="shared" si="0"/>
        <v>empate</v>
      </c>
      <c r="K28" s="43" t="str">
        <f t="shared" si="1"/>
        <v/>
      </c>
      <c r="L28" s="43" t="str">
        <f t="shared" si="2"/>
        <v/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69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/>
      <c r="G29" s="12" t="s">
        <v>17</v>
      </c>
      <c r="H29" s="21"/>
      <c r="I29" s="13" t="str">
        <f>P31</f>
        <v>Monterrey</v>
      </c>
      <c r="J29" s="42" t="str">
        <f t="shared" si="0"/>
        <v>empate</v>
      </c>
      <c r="K29" s="43" t="str">
        <f t="shared" si="1"/>
        <v/>
      </c>
      <c r="L29" s="43" t="str">
        <f t="shared" si="2"/>
        <v/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0</v>
      </c>
      <c r="R29" s="43">
        <f>SUM(S29:U29)</f>
        <v>0</v>
      </c>
      <c r="S29" s="43">
        <f>COUNTIF(J:J,P29)</f>
        <v>0</v>
      </c>
      <c r="T29" s="43">
        <f>COUNTIF(K:K,P29)+COUNTIF(L:L,P29)</f>
        <v>0</v>
      </c>
      <c r="U29" s="43">
        <f>COUNTIF(M:M,P29)</f>
        <v>0</v>
      </c>
      <c r="V29" s="43">
        <f>SUMIF(E:E,P29,F:F)+SUMIF(I:I,P29,H:H)</f>
        <v>0</v>
      </c>
      <c r="W29" s="43">
        <f>SUMIF(E:E,P29,H:H)+SUMIF(I:I,P29,F:F)</f>
        <v>0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0</v>
      </c>
      <c r="AH29" s="90">
        <f>VLOOKUP($AE29,$O$29:$X$32,4,FALSE)</f>
        <v>0</v>
      </c>
      <c r="AI29" s="90">
        <f>VLOOKUP($AE29,$O$29:$X$32,5,FALSE)</f>
        <v>0</v>
      </c>
      <c r="AJ29" s="90">
        <f>VLOOKUP($AE29,$O$29:$X$32,6,FALSE)</f>
        <v>0</v>
      </c>
      <c r="AK29" s="90">
        <f>VLOOKUP($AE29,$O$29:$X$32,7,FALSE)</f>
        <v>0</v>
      </c>
      <c r="AL29" s="90">
        <f>VLOOKUP($AE29,$O$29:$X$32,8,FALSE)</f>
        <v>0</v>
      </c>
      <c r="AM29" s="90">
        <f>VLOOKUP($AE29,$O$29:$X$32,9,FALSE)</f>
        <v>0</v>
      </c>
      <c r="AN29" s="91">
        <f>VLOOKUP($AE29,$O$29:$X$32,10,FALSE)</f>
        <v>0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/>
      <c r="G30" s="12" t="s">
        <v>17</v>
      </c>
      <c r="H30" s="21"/>
      <c r="I30" s="13" t="str">
        <f>P30</f>
        <v>Urawa Red Diamonds</v>
      </c>
      <c r="J30" s="42" t="str">
        <f t="shared" si="0"/>
        <v>empate</v>
      </c>
      <c r="K30" s="43" t="str">
        <f t="shared" si="1"/>
        <v/>
      </c>
      <c r="L30" s="43" t="str">
        <f t="shared" si="2"/>
        <v/>
      </c>
      <c r="M30" s="44" t="str">
        <f t="shared" si="3"/>
        <v>empate</v>
      </c>
      <c r="N30" s="51"/>
      <c r="O30" s="52">
        <f t="shared" ref="O30:O32" si="72">RANK(Q30,$Q$29:$Q$32)+SUM(Y30:AB30)</f>
        <v>2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0</v>
      </c>
      <c r="S30" s="43">
        <f>COUNTIF(J:J,P30)</f>
        <v>0</v>
      </c>
      <c r="T30" s="43">
        <f>COUNTIF(K:K,P30)+COUNTIF(L:L,P30)</f>
        <v>0</v>
      </c>
      <c r="U30" s="43">
        <f>COUNTIF(M:M,P30)</f>
        <v>0</v>
      </c>
      <c r="V30" s="43">
        <f>SUMIF(E:E,P30,F:F)+SUMIF(I:I,P30,H:H)</f>
        <v>0</v>
      </c>
      <c r="W30" s="43">
        <f>SUMIF(E:E,P30,H:H)+SUMIF(I:I,P30,F:F)</f>
        <v>0</v>
      </c>
      <c r="X30" s="43">
        <f t="shared" ref="X30:X32" si="75">V30-W30</f>
        <v>0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1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Urawa Red Diamonds</v>
      </c>
      <c r="AG30" s="90">
        <f t="shared" ref="AG30:AG32" si="81">VLOOKUP($AE30,$O$29:$X$32,3,FALSE)</f>
        <v>0</v>
      </c>
      <c r="AH30" s="90">
        <f t="shared" ref="AH30:AH32" si="82">VLOOKUP($AE30,$O$29:$X$32,4,FALSE)</f>
        <v>0</v>
      </c>
      <c r="AI30" s="90">
        <f t="shared" ref="AI30:AI32" si="83">VLOOKUP($AE30,$O$29:$X$32,5,FALSE)</f>
        <v>0</v>
      </c>
      <c r="AJ30" s="90">
        <f t="shared" ref="AJ30:AJ32" si="84">VLOOKUP($AE30,$O$29:$X$32,6,FALSE)</f>
        <v>0</v>
      </c>
      <c r="AK30" s="90">
        <f t="shared" ref="AK30:AK32" si="85">VLOOKUP($AE30,$O$29:$X$32,7,FALSE)</f>
        <v>0</v>
      </c>
      <c r="AL30" s="90">
        <f t="shared" ref="AL30:AL32" si="86">VLOOKUP($AE30,$O$29:$X$32,8,FALSE)</f>
        <v>0</v>
      </c>
      <c r="AM30" s="90">
        <f t="shared" ref="AM30:AM32" si="87">VLOOKUP($AE30,$O$29:$X$32,9,FALSE)</f>
        <v>0</v>
      </c>
      <c r="AN30" s="91">
        <f t="shared" ref="AN30:AN32" si="88">VLOOKUP($AE30,$O$29:$X$32,10,FALSE)</f>
        <v>0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0</v>
      </c>
      <c r="R31" s="43">
        <f t="shared" si="74"/>
        <v>0</v>
      </c>
      <c r="S31" s="43">
        <f>COUNTIF(J:J,P31)</f>
        <v>0</v>
      </c>
      <c r="T31" s="43">
        <f>COUNTIF(K:K,P31)+COUNTIF(L:L,P31)</f>
        <v>0</v>
      </c>
      <c r="U31" s="43">
        <f>COUNTIF(M:M,P31)</f>
        <v>0</v>
      </c>
      <c r="V31" s="43">
        <f>SUMIF(E:E,P31,F:F)+SUMIF(I:I,P31,H:H)</f>
        <v>0</v>
      </c>
      <c r="W31" s="43">
        <f>SUMIF(E:E,P31,H:H)+SUMIF(I:I,P31,F:F)</f>
        <v>0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2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0</v>
      </c>
      <c r="AH31" s="90">
        <f t="shared" si="82"/>
        <v>0</v>
      </c>
      <c r="AI31" s="90">
        <f t="shared" si="83"/>
        <v>0</v>
      </c>
      <c r="AJ31" s="90">
        <f t="shared" si="84"/>
        <v>0</v>
      </c>
      <c r="AK31" s="90">
        <f t="shared" si="85"/>
        <v>0</v>
      </c>
      <c r="AL31" s="90">
        <f t="shared" si="86"/>
        <v>0</v>
      </c>
      <c r="AM31" s="90">
        <f t="shared" si="87"/>
        <v>0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4</v>
      </c>
      <c r="P32" s="53" t="str">
        <f>Sorteios!C17</f>
        <v>Internazionale</v>
      </c>
      <c r="Q32" s="57">
        <f t="shared" si="73"/>
        <v>0</v>
      </c>
      <c r="R32" s="57">
        <f t="shared" si="74"/>
        <v>0</v>
      </c>
      <c r="S32" s="43">
        <f>COUNTIF(J:J,P32)</f>
        <v>0</v>
      </c>
      <c r="T32" s="43">
        <f>COUNTIF(K:K,P32)+COUNTIF(L:L,P32)</f>
        <v>0</v>
      </c>
      <c r="U32" s="43">
        <f>COUNTIF(M:M,P32)</f>
        <v>0</v>
      </c>
      <c r="V32" s="57">
        <f>SUMIF(E:E,P32,F:F)+SUMIF(I:I,P32,H:H)</f>
        <v>0</v>
      </c>
      <c r="W32" s="57">
        <f>SUMIF(E:E,P32,H:H)+SUMIF(I:I,P32,F:F)</f>
        <v>0</v>
      </c>
      <c r="X32" s="57">
        <f t="shared" si="75"/>
        <v>0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3</v>
      </c>
      <c r="AC32" s="58">
        <v>4</v>
      </c>
      <c r="AD32" s="61"/>
      <c r="AE32" s="132">
        <v>4</v>
      </c>
      <c r="AF32" s="84" t="str">
        <f t="shared" si="80"/>
        <v>Internazionale</v>
      </c>
      <c r="AG32" s="92">
        <f t="shared" si="81"/>
        <v>0</v>
      </c>
      <c r="AH32" s="92">
        <f t="shared" si="82"/>
        <v>0</v>
      </c>
      <c r="AI32" s="92">
        <f t="shared" si="83"/>
        <v>0</v>
      </c>
      <c r="AJ32" s="92">
        <f t="shared" si="84"/>
        <v>0</v>
      </c>
      <c r="AK32" s="92">
        <f t="shared" si="85"/>
        <v>0</v>
      </c>
      <c r="AL32" s="92">
        <f t="shared" si="86"/>
        <v>0</v>
      </c>
      <c r="AM32" s="92">
        <f t="shared" si="87"/>
        <v>0</v>
      </c>
      <c r="AN32" s="93">
        <f t="shared" si="88"/>
        <v>0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/>
      <c r="G33" s="99" t="s">
        <v>17</v>
      </c>
      <c r="H33" s="21"/>
      <c r="I33" s="85" t="str">
        <f>P36</f>
        <v>Borussia Dortmund</v>
      </c>
      <c r="J33" s="63" t="str">
        <f t="shared" si="0"/>
        <v>empate</v>
      </c>
      <c r="K33" s="64" t="str">
        <f t="shared" si="1"/>
        <v/>
      </c>
      <c r="L33" s="64" t="str">
        <f t="shared" si="2"/>
        <v/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/>
      <c r="G34" s="90" t="s">
        <v>17</v>
      </c>
      <c r="H34" s="21"/>
      <c r="I34" s="26" t="str">
        <f>P38</f>
        <v>Mamelodi Sundowns</v>
      </c>
      <c r="J34" s="42" t="str">
        <f t="shared" si="0"/>
        <v>empate</v>
      </c>
      <c r="K34" s="43" t="str">
        <f t="shared" si="1"/>
        <v/>
      </c>
      <c r="L34" s="43" t="str">
        <f t="shared" si="2"/>
        <v/>
      </c>
      <c r="M34" s="44" t="str">
        <f t="shared" si="3"/>
        <v>empate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69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/>
      <c r="G35" s="90" t="s">
        <v>17</v>
      </c>
      <c r="H35" s="21"/>
      <c r="I35" s="26" t="str">
        <f>P37</f>
        <v>Ulsan</v>
      </c>
      <c r="J35" s="42" t="str">
        <f t="shared" ref="J35:J50" si="89">IF(F35=H35,"empate",IF(F35&gt;H35,E35,I35))</f>
        <v>empate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empate</v>
      </c>
      <c r="N35" s="50"/>
      <c r="O35" s="52">
        <f>RANK(Q35,$Q$35:$Q$38)+SUM(Y35:AB35)</f>
        <v>1</v>
      </c>
      <c r="P35" s="53" t="str">
        <f>Sorteios!F14</f>
        <v>Fluminense</v>
      </c>
      <c r="Q35" s="43">
        <f>(S35*3)+(T35*1)</f>
        <v>0</v>
      </c>
      <c r="R35" s="43">
        <f>SUM(S35:U35)</f>
        <v>0</v>
      </c>
      <c r="S35" s="43">
        <f>COUNTIF(J:J,P35)</f>
        <v>0</v>
      </c>
      <c r="T35" s="43">
        <f>COUNTIF(K:K,P35)+COUNTIF(L:L,P35)</f>
        <v>0</v>
      </c>
      <c r="U35" s="43">
        <f>COUNTIF(M:M,P35)</f>
        <v>0</v>
      </c>
      <c r="V35" s="43">
        <f>SUMIF(E:E,P35,F:F)+SUMIF(I:I,P35,H:H)</f>
        <v>0</v>
      </c>
      <c r="W35" s="43">
        <f>SUMIF(E:E,P35,H:H)+SUMIF(I:I,P35,F:F)</f>
        <v>0</v>
      </c>
      <c r="X35" s="43">
        <f>V35-W35</f>
        <v>0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Fluminense</v>
      </c>
      <c r="AG35" s="90">
        <f>VLOOKUP($AE35,$O$35:$X$38,3,FALSE)</f>
        <v>0</v>
      </c>
      <c r="AH35" s="90">
        <f>VLOOKUP($AE35,$O$35:$X$38,4,FALSE)</f>
        <v>0</v>
      </c>
      <c r="AI35" s="90">
        <f>VLOOKUP($AE35,$O$35:$X$38,5,FALSE)</f>
        <v>0</v>
      </c>
      <c r="AJ35" s="90">
        <f>VLOOKUP($AE35,$O$35:$X$38,6,FALSE)</f>
        <v>0</v>
      </c>
      <c r="AK35" s="90">
        <f>VLOOKUP($AE35,$O$35:$X$38,7,FALSE)</f>
        <v>0</v>
      </c>
      <c r="AL35" s="90">
        <f>VLOOKUP($AE35,$O$35:$X$38,8,FALSE)</f>
        <v>0</v>
      </c>
      <c r="AM35" s="90">
        <f>VLOOKUP($AE35,$O$35:$X$38,9,FALSE)</f>
        <v>0</v>
      </c>
      <c r="AN35" s="91">
        <f>VLOOKUP($AE35,$O$35:$X$38,10,FALSE)</f>
        <v>0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/>
      <c r="G36" s="90" t="s">
        <v>17</v>
      </c>
      <c r="H36" s="21"/>
      <c r="I36" s="26" t="str">
        <f>P36</f>
        <v>Borussia Dortmund</v>
      </c>
      <c r="J36" s="42" t="str">
        <f t="shared" si="89"/>
        <v>empate</v>
      </c>
      <c r="K36" s="43" t="str">
        <f t="shared" si="90"/>
        <v/>
      </c>
      <c r="L36" s="43" t="str">
        <f t="shared" si="91"/>
        <v/>
      </c>
      <c r="M36" s="44" t="str">
        <f t="shared" si="92"/>
        <v>empate</v>
      </c>
      <c r="N36" s="50"/>
      <c r="O36" s="52">
        <f t="shared" ref="O36:O38" si="93">RANK(Q36,$Q$35:$Q$38)+SUM(Y36:AB36)</f>
        <v>2</v>
      </c>
      <c r="P36" s="53" t="str">
        <f>Sorteios!F15</f>
        <v>Borussia Dortmund</v>
      </c>
      <c r="Q36" s="43">
        <f t="shared" ref="Q36:Q38" si="94">(S36*3)+(T36*1)</f>
        <v>0</v>
      </c>
      <c r="R36" s="43">
        <f t="shared" ref="R36:R38" si="95">SUM(S36:U36)</f>
        <v>0</v>
      </c>
      <c r="S36" s="43">
        <f>COUNTIF(J:J,P36)</f>
        <v>0</v>
      </c>
      <c r="T36" s="43">
        <f>COUNTIF(K:K,P36)+COUNTIF(L:L,P36)</f>
        <v>0</v>
      </c>
      <c r="U36" s="43">
        <f>COUNTIF(M:M,P36)</f>
        <v>0</v>
      </c>
      <c r="V36" s="43">
        <f>SUMIF(E:E,P36,F:F)+SUMIF(I:I,P36,H:H)</f>
        <v>0</v>
      </c>
      <c r="W36" s="43">
        <f>SUMIF(E:E,P36,H:H)+SUMIF(I:I,P36,F:F)</f>
        <v>0</v>
      </c>
      <c r="X36" s="43">
        <f t="shared" ref="X36:X38" si="96">V36-W36</f>
        <v>0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1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Borussia Dortmund</v>
      </c>
      <c r="AG36" s="90">
        <f t="shared" ref="AG36:AG38" si="102">VLOOKUP($AE36,$O$35:$X$38,3,FALSE)</f>
        <v>0</v>
      </c>
      <c r="AH36" s="90">
        <f t="shared" ref="AH36:AH38" si="103">VLOOKUP($AE36,$O$35:$X$38,4,FALSE)</f>
        <v>0</v>
      </c>
      <c r="AI36" s="90">
        <f t="shared" ref="AI36:AI38" si="104">VLOOKUP($AE36,$O$35:$X$38,5,FALSE)</f>
        <v>0</v>
      </c>
      <c r="AJ36" s="90">
        <f t="shared" ref="AJ36:AJ38" si="105">VLOOKUP($AE36,$O$35:$X$38,6,FALSE)</f>
        <v>0</v>
      </c>
      <c r="AK36" s="90">
        <f t="shared" ref="AK36:AK38" si="106">VLOOKUP($AE36,$O$35:$X$38,7,FALSE)</f>
        <v>0</v>
      </c>
      <c r="AL36" s="90">
        <f t="shared" ref="AL36:AL38" si="107">VLOOKUP($AE36,$O$35:$X$38,8,FALSE)</f>
        <v>0</v>
      </c>
      <c r="AM36" s="90">
        <f t="shared" ref="AM36:AM38" si="108">VLOOKUP($AE36,$O$35:$X$38,9,FALSE)</f>
        <v>0</v>
      </c>
      <c r="AN36" s="91">
        <f t="shared" ref="AN36:AN38" si="109">VLOOKUP($AE36,$O$35:$X$38,10,FALSE)</f>
        <v>0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3</v>
      </c>
      <c r="P37" s="53" t="str">
        <f>Sorteios!F16</f>
        <v>Ulsan</v>
      </c>
      <c r="Q37" s="43">
        <f t="shared" si="94"/>
        <v>0</v>
      </c>
      <c r="R37" s="43">
        <f t="shared" si="95"/>
        <v>0</v>
      </c>
      <c r="S37" s="43">
        <f>COUNTIF(J:J,P37)</f>
        <v>0</v>
      </c>
      <c r="T37" s="43">
        <f>COUNTIF(K:K,P37)+COUNTIF(L:L,P37)</f>
        <v>0</v>
      </c>
      <c r="U37" s="43">
        <f>COUNTIF(M:M,P37)</f>
        <v>0</v>
      </c>
      <c r="V37" s="43">
        <f>SUMIF(E:E,P37,F:F)+SUMIF(I:I,P37,H:H)</f>
        <v>0</v>
      </c>
      <c r="W37" s="43">
        <f>SUMIF(E:E,P37,H:H)+SUMIF(I:I,P37,F:F)</f>
        <v>0</v>
      </c>
      <c r="X37" s="43">
        <f t="shared" si="96"/>
        <v>0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2</v>
      </c>
      <c r="AC37" s="44">
        <v>3</v>
      </c>
      <c r="AD37" s="50"/>
      <c r="AE37" s="132">
        <v>3</v>
      </c>
      <c r="AF37" s="83" t="str">
        <f t="shared" si="101"/>
        <v>Ulsan</v>
      </c>
      <c r="AG37" s="90">
        <f t="shared" si="102"/>
        <v>0</v>
      </c>
      <c r="AH37" s="90">
        <f t="shared" si="103"/>
        <v>0</v>
      </c>
      <c r="AI37" s="90">
        <f t="shared" si="104"/>
        <v>0</v>
      </c>
      <c r="AJ37" s="90">
        <f t="shared" si="105"/>
        <v>0</v>
      </c>
      <c r="AK37" s="90">
        <f t="shared" si="106"/>
        <v>0</v>
      </c>
      <c r="AL37" s="90">
        <f t="shared" si="107"/>
        <v>0</v>
      </c>
      <c r="AM37" s="90">
        <f t="shared" si="108"/>
        <v>0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4</v>
      </c>
      <c r="P38" s="53" t="str">
        <f>Sorteios!F17</f>
        <v>Mamelodi Sundowns</v>
      </c>
      <c r="Q38" s="57">
        <f t="shared" si="94"/>
        <v>0</v>
      </c>
      <c r="R38" s="57">
        <f t="shared" si="95"/>
        <v>0</v>
      </c>
      <c r="S38" s="43">
        <f>COUNTIF(J:J,P38)</f>
        <v>0</v>
      </c>
      <c r="T38" s="43">
        <f>COUNTIF(K:K,P38)+COUNTIF(L:L,P38)</f>
        <v>0</v>
      </c>
      <c r="U38" s="43">
        <f>COUNTIF(M:M,P38)</f>
        <v>0</v>
      </c>
      <c r="V38" s="57">
        <f>SUMIF(E:E,P38,F:F)+SUMIF(I:I,P38,H:H)</f>
        <v>0</v>
      </c>
      <c r="W38" s="57">
        <f>SUMIF(E:E,P38,H:H)+SUMIF(I:I,P38,F:F)</f>
        <v>0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3</v>
      </c>
      <c r="AC38" s="58">
        <v>4</v>
      </c>
      <c r="AD38" s="61"/>
      <c r="AE38" s="132">
        <v>4</v>
      </c>
      <c r="AF38" s="84" t="str">
        <f t="shared" si="101"/>
        <v>Mamelodi Sundowns</v>
      </c>
      <c r="AG38" s="92">
        <f t="shared" si="102"/>
        <v>0</v>
      </c>
      <c r="AH38" s="92">
        <f t="shared" si="103"/>
        <v>0</v>
      </c>
      <c r="AI38" s="92">
        <f t="shared" si="104"/>
        <v>0</v>
      </c>
      <c r="AJ38" s="92">
        <f t="shared" si="105"/>
        <v>0</v>
      </c>
      <c r="AK38" s="92">
        <f t="shared" si="106"/>
        <v>0</v>
      </c>
      <c r="AL38" s="92">
        <f t="shared" si="107"/>
        <v>0</v>
      </c>
      <c r="AM38" s="92">
        <f t="shared" si="108"/>
        <v>0</v>
      </c>
      <c r="AN38" s="93">
        <f t="shared" si="109"/>
        <v>0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/>
      <c r="G39" s="12" t="s">
        <v>17</v>
      </c>
      <c r="H39" s="21"/>
      <c r="I39" s="13" t="str">
        <f>P42</f>
        <v>Wydad Casablanca</v>
      </c>
      <c r="J39" s="63" t="str">
        <f t="shared" si="89"/>
        <v>empate</v>
      </c>
      <c r="K39" s="64" t="str">
        <f t="shared" si="90"/>
        <v/>
      </c>
      <c r="L39" s="64" t="str">
        <f t="shared" si="91"/>
        <v/>
      </c>
      <c r="M39" s="65" t="str">
        <f t="shared" si="92"/>
        <v>empate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/>
      <c r="G40" s="12" t="s">
        <v>17</v>
      </c>
      <c r="H40" s="21"/>
      <c r="I40" s="13" t="str">
        <f>P44</f>
        <v>Juventus</v>
      </c>
      <c r="J40" s="42" t="str">
        <f t="shared" si="89"/>
        <v>empate</v>
      </c>
      <c r="K40" s="43" t="str">
        <f t="shared" si="90"/>
        <v/>
      </c>
      <c r="L40" s="43" t="str">
        <f t="shared" si="91"/>
        <v/>
      </c>
      <c r="M40" s="44" t="str">
        <f t="shared" si="92"/>
        <v>empate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69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/>
      <c r="G41" s="12" t="s">
        <v>17</v>
      </c>
      <c r="H41" s="21"/>
      <c r="I41" s="13" t="str">
        <f>P43</f>
        <v>Al Ain</v>
      </c>
      <c r="J41" s="42" t="str">
        <f t="shared" si="89"/>
        <v>empate</v>
      </c>
      <c r="K41" s="43" t="str">
        <f t="shared" si="90"/>
        <v/>
      </c>
      <c r="L41" s="43" t="str">
        <f t="shared" si="91"/>
        <v/>
      </c>
      <c r="M41" s="44" t="str">
        <f t="shared" si="92"/>
        <v>empate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0</v>
      </c>
      <c r="R41" s="43">
        <f>SUM(S41:U41)</f>
        <v>0</v>
      </c>
      <c r="S41" s="43">
        <f>COUNTIF(J:J,P41)</f>
        <v>0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0</v>
      </c>
      <c r="W41" s="43">
        <f>SUMIF(E:E,P41,H:H)+SUMIF(I:I,P41,F:F)</f>
        <v>0</v>
      </c>
      <c r="X41" s="43">
        <f>V41-W41</f>
        <v>0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0</v>
      </c>
      <c r="AH41" s="90">
        <f>VLOOKUP($AE41,$O$41:$X$44,4,FALSE)</f>
        <v>0</v>
      </c>
      <c r="AI41" s="90">
        <f>VLOOKUP($AE41,$O$41:$X$44,5,FALSE)</f>
        <v>0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0</v>
      </c>
      <c r="AM41" s="90">
        <f>VLOOKUP($AE41,$O$41:$X$44,9,FALSE)</f>
        <v>0</v>
      </c>
      <c r="AN41" s="91">
        <f>VLOOKUP($AE41,$O$41:$X$44,10,FALSE)</f>
        <v>0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/>
      <c r="G42" s="12" t="s">
        <v>17</v>
      </c>
      <c r="H42" s="21"/>
      <c r="I42" s="13" t="str">
        <f>P42</f>
        <v>Wydad Casablanca</v>
      </c>
      <c r="J42" s="42" t="str">
        <f t="shared" si="89"/>
        <v>empate</v>
      </c>
      <c r="K42" s="43" t="str">
        <f t="shared" si="90"/>
        <v/>
      </c>
      <c r="L42" s="43" t="str">
        <f t="shared" si="91"/>
        <v/>
      </c>
      <c r="M42" s="44" t="str">
        <f t="shared" si="92"/>
        <v>empate</v>
      </c>
      <c r="N42" s="51"/>
      <c r="O42" s="52">
        <f t="shared" ref="O42:O44" si="110">RANK(Q42,$Q$41:$Q$44)+SUM(Y42:AB42)</f>
        <v>2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0</v>
      </c>
      <c r="S42" s="43">
        <f>COUNTIF(J:J,P42)</f>
        <v>0</v>
      </c>
      <c r="T42" s="43">
        <f>COUNTIF(K:K,P42)+COUNTIF(L:L,P42)</f>
        <v>0</v>
      </c>
      <c r="U42" s="43">
        <f>COUNTIF(M:M,P42)</f>
        <v>0</v>
      </c>
      <c r="V42" s="43">
        <f>SUMIF(E:E,P42,F:F)+SUMIF(I:I,P42,H:H)</f>
        <v>0</v>
      </c>
      <c r="W42" s="43">
        <f>SUMIF(E:E,P42,H:H)+SUMIF(I:I,P42,F:F)</f>
        <v>0</v>
      </c>
      <c r="X42" s="43">
        <f t="shared" ref="X42:X44" si="113">V42-W42</f>
        <v>0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1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Wydad Casablanca</v>
      </c>
      <c r="AG42" s="90">
        <f t="shared" ref="AG42:AG44" si="119">VLOOKUP($AE42,$O$41:$X$44,3,FALSE)</f>
        <v>0</v>
      </c>
      <c r="AH42" s="90">
        <f t="shared" ref="AH42:AH44" si="120">VLOOKUP($AE42,$O$41:$X$44,4,FALSE)</f>
        <v>0</v>
      </c>
      <c r="AI42" s="90">
        <f t="shared" ref="AI42:AI44" si="121">VLOOKUP($AE42,$O$41:$X$44,5,FALSE)</f>
        <v>0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0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0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0</v>
      </c>
      <c r="R43" s="43">
        <f t="shared" si="112"/>
        <v>0</v>
      </c>
      <c r="S43" s="43">
        <f>COUNTIF(J:J,P43)</f>
        <v>0</v>
      </c>
      <c r="T43" s="43">
        <f>COUNTIF(K:K,P43)+COUNTIF(L:L,P43)</f>
        <v>0</v>
      </c>
      <c r="U43" s="43">
        <f>COUNTIF(M:M,P43)</f>
        <v>0</v>
      </c>
      <c r="V43" s="43">
        <f>SUMIF(E:E,P43,F:F)+SUMIF(I:I,P43,H:H)</f>
        <v>0</v>
      </c>
      <c r="W43" s="43">
        <f>SUMIF(E:E,P43,H:H)+SUMIF(I:I,P43,F:F)</f>
        <v>0</v>
      </c>
      <c r="X43" s="43">
        <f t="shared" si="113"/>
        <v>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2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0</v>
      </c>
      <c r="AH43" s="90">
        <f t="shared" si="120"/>
        <v>0</v>
      </c>
      <c r="AI43" s="90">
        <f t="shared" si="121"/>
        <v>0</v>
      </c>
      <c r="AJ43" s="90">
        <f t="shared" si="122"/>
        <v>0</v>
      </c>
      <c r="AK43" s="90">
        <f t="shared" si="123"/>
        <v>0</v>
      </c>
      <c r="AL43" s="90">
        <f t="shared" si="124"/>
        <v>0</v>
      </c>
      <c r="AM43" s="90">
        <f t="shared" si="125"/>
        <v>0</v>
      </c>
      <c r="AN43" s="91">
        <f t="shared" si="126"/>
        <v>0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4</v>
      </c>
      <c r="P44" s="53" t="str">
        <f>Sorteios!I17</f>
        <v>Juventus</v>
      </c>
      <c r="Q44" s="57">
        <f t="shared" si="111"/>
        <v>0</v>
      </c>
      <c r="R44" s="57">
        <f t="shared" si="112"/>
        <v>0</v>
      </c>
      <c r="S44" s="43">
        <f>COUNTIF(J:J,P44)</f>
        <v>0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0</v>
      </c>
      <c r="W44" s="57">
        <f>SUMIF(E:E,P44,H:H)+SUMIF(I:I,P44,F:F)</f>
        <v>0</v>
      </c>
      <c r="X44" s="57">
        <f t="shared" si="113"/>
        <v>0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3</v>
      </c>
      <c r="AC44" s="58">
        <v>4</v>
      </c>
      <c r="AD44" s="61"/>
      <c r="AE44" s="132">
        <v>4</v>
      </c>
      <c r="AF44" s="84" t="str">
        <f t="shared" si="118"/>
        <v>Juventus</v>
      </c>
      <c r="AG44" s="92">
        <f t="shared" si="119"/>
        <v>0</v>
      </c>
      <c r="AH44" s="92">
        <f t="shared" si="120"/>
        <v>0</v>
      </c>
      <c r="AI44" s="92">
        <f t="shared" si="121"/>
        <v>0</v>
      </c>
      <c r="AJ44" s="92">
        <f t="shared" si="122"/>
        <v>0</v>
      </c>
      <c r="AK44" s="92">
        <f t="shared" si="123"/>
        <v>0</v>
      </c>
      <c r="AL44" s="92">
        <f t="shared" si="124"/>
        <v>0</v>
      </c>
      <c r="AM44" s="92">
        <f t="shared" si="125"/>
        <v>0</v>
      </c>
      <c r="AN44" s="93">
        <f t="shared" si="126"/>
        <v>0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/>
      <c r="G45" s="99" t="s">
        <v>17</v>
      </c>
      <c r="H45" s="21"/>
      <c r="I45" s="85" t="str">
        <f>P48</f>
        <v>Al-Hilal</v>
      </c>
      <c r="J45" s="63" t="str">
        <f t="shared" si="89"/>
        <v>empate</v>
      </c>
      <c r="K45" s="64" t="str">
        <f t="shared" si="90"/>
        <v/>
      </c>
      <c r="L45" s="64" t="str">
        <f t="shared" si="91"/>
        <v/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/>
      <c r="G46" s="90" t="s">
        <v>17</v>
      </c>
      <c r="H46" s="21"/>
      <c r="I46" s="26" t="str">
        <f>P50</f>
        <v>Red Bull Salzburg</v>
      </c>
      <c r="J46" s="42" t="str">
        <f t="shared" si="89"/>
        <v>empate</v>
      </c>
      <c r="K46" s="43" t="str">
        <f t="shared" si="90"/>
        <v/>
      </c>
      <c r="L46" s="43" t="str">
        <f t="shared" si="91"/>
        <v/>
      </c>
      <c r="M46" s="44" t="str">
        <f t="shared" si="92"/>
        <v>empate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69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/>
      <c r="G47" s="90" t="s">
        <v>17</v>
      </c>
      <c r="H47" s="21"/>
      <c r="I47" s="26" t="str">
        <f>P49</f>
        <v>Pachuca</v>
      </c>
      <c r="J47" s="42" t="str">
        <f t="shared" si="89"/>
        <v>empate</v>
      </c>
      <c r="K47" s="43" t="str">
        <f t="shared" si="90"/>
        <v/>
      </c>
      <c r="L47" s="43" t="str">
        <f t="shared" si="91"/>
        <v/>
      </c>
      <c r="M47" s="44" t="str">
        <f t="shared" si="92"/>
        <v>empate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0</v>
      </c>
      <c r="R47" s="43">
        <f>SUM(S47:U47)</f>
        <v>0</v>
      </c>
      <c r="S47" s="43">
        <f>COUNTIF(J:J,P47)</f>
        <v>0</v>
      </c>
      <c r="T47" s="43">
        <f>COUNTIF(K:K,P47)+COUNTIF(L:L,P47)</f>
        <v>0</v>
      </c>
      <c r="U47" s="43">
        <f>COUNTIF(M:M,P47)</f>
        <v>0</v>
      </c>
      <c r="V47" s="43">
        <f>SUMIF(E:E,P47,F:F)+SUMIF(I:I,P47,H:H)</f>
        <v>0</v>
      </c>
      <c r="W47" s="43">
        <f>SUMIF(E:E,P47,H:H)+SUMIF(I:I,P47,F:F)</f>
        <v>0</v>
      </c>
      <c r="X47" s="43">
        <f>V47-W47</f>
        <v>0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0</v>
      </c>
      <c r="AH47" s="90">
        <f>VLOOKUP($AE47,$O$47:$X$50,4,FALSE)</f>
        <v>0</v>
      </c>
      <c r="AI47" s="90">
        <f>VLOOKUP($AE47,$O$47:$X$50,5,FALSE)</f>
        <v>0</v>
      </c>
      <c r="AJ47" s="90">
        <f>VLOOKUP($AE47,$O$47:$X$50,6,FALSE)</f>
        <v>0</v>
      </c>
      <c r="AK47" s="90">
        <f>VLOOKUP($AE47,$O$47:$X$50,7,FALSE)</f>
        <v>0</v>
      </c>
      <c r="AL47" s="90">
        <f>VLOOKUP($AE47,$O$47:$X$50,8,FALSE)</f>
        <v>0</v>
      </c>
      <c r="AM47" s="90">
        <f>VLOOKUP($AE47,$O$47:$X$50,9,FALSE)</f>
        <v>0</v>
      </c>
      <c r="AN47" s="91">
        <f>VLOOKUP($AE47,$O$47:$X$50,10,FALSE)</f>
        <v>0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/>
      <c r="G48" s="90" t="s">
        <v>17</v>
      </c>
      <c r="H48" s="21"/>
      <c r="I48" s="26" t="str">
        <f>P48</f>
        <v>Al-Hilal</v>
      </c>
      <c r="J48" s="42" t="str">
        <f t="shared" si="89"/>
        <v>empate</v>
      </c>
      <c r="K48" s="43" t="str">
        <f t="shared" si="90"/>
        <v/>
      </c>
      <c r="L48" s="43" t="str">
        <f t="shared" si="91"/>
        <v/>
      </c>
      <c r="M48" s="44" t="str">
        <f t="shared" si="92"/>
        <v>empate</v>
      </c>
      <c r="N48" s="50"/>
      <c r="O48" s="52">
        <f>RANK(Q48,$Q$47:$Q$50)+SUM(Y48:AB48)</f>
        <v>2</v>
      </c>
      <c r="P48" s="53" t="str">
        <f>Sorteios!L15</f>
        <v>Al-Hilal</v>
      </c>
      <c r="Q48" s="43">
        <f t="shared" ref="Q48:Q50" si="127">(S48*3)+(T48*1)</f>
        <v>0</v>
      </c>
      <c r="R48" s="43">
        <f t="shared" ref="R48:R50" si="128">SUM(S48:U48)</f>
        <v>0</v>
      </c>
      <c r="S48" s="43">
        <f>COUNTIF(J:J,P48)</f>
        <v>0</v>
      </c>
      <c r="T48" s="43">
        <f>COUNTIF(K:K,P48)+COUNTIF(L:L,P48)</f>
        <v>0</v>
      </c>
      <c r="U48" s="43">
        <f>COUNTIF(M:M,P48)</f>
        <v>0</v>
      </c>
      <c r="V48" s="43">
        <f>SUMIF(E:E,P48,F:F)+SUMIF(I:I,P48,H:H)</f>
        <v>0</v>
      </c>
      <c r="W48" s="43">
        <f>SUMIF(E:E,P48,H:H)+SUMIF(I:I,P48,F:F)</f>
        <v>0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1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Al-Hilal</v>
      </c>
      <c r="AG48" s="90">
        <f t="shared" ref="AG48:AG50" si="135">VLOOKUP($AE48,$O$47:$X$50,3,FALSE)</f>
        <v>0</v>
      </c>
      <c r="AH48" s="90">
        <f t="shared" ref="AH48:AH50" si="136">VLOOKUP($AE48,$O$47:$X$50,4,FALSE)</f>
        <v>0</v>
      </c>
      <c r="AI48" s="90">
        <f t="shared" ref="AI48:AI50" si="137">VLOOKUP($AE48,$O$47:$X$50,5,FALSE)</f>
        <v>0</v>
      </c>
      <c r="AJ48" s="90">
        <f t="shared" ref="AJ48:AJ50" si="138">VLOOKUP($AE48,$O$47:$X$50,6,FALSE)</f>
        <v>0</v>
      </c>
      <c r="AK48" s="90">
        <f t="shared" ref="AK48:AK50" si="139">VLOOKUP($AE48,$O$47:$X$50,7,FALSE)</f>
        <v>0</v>
      </c>
      <c r="AL48" s="90">
        <f t="shared" ref="AL48:AL50" si="140">VLOOKUP($AE48,$O$47:$X$50,8,FALSE)</f>
        <v>0</v>
      </c>
      <c r="AM48" s="90">
        <f t="shared" ref="AM48:AM50" si="141">VLOOKUP($AE48,$O$47:$X$50,9,FALSE)</f>
        <v>0</v>
      </c>
      <c r="AN48" s="91">
        <f t="shared" ref="AN48:AN50" si="142">VLOOKUP($AE48,$O$47:$X$50,10,FALSE)</f>
        <v>0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3</v>
      </c>
      <c r="P49" s="53" t="str">
        <f>Sorteios!L16</f>
        <v>Pachuca</v>
      </c>
      <c r="Q49" s="43">
        <f t="shared" si="127"/>
        <v>0</v>
      </c>
      <c r="R49" s="43">
        <f t="shared" si="128"/>
        <v>0</v>
      </c>
      <c r="S49" s="43">
        <f>COUNTIF(J:J,P49)</f>
        <v>0</v>
      </c>
      <c r="T49" s="43">
        <f>COUNTIF(K:K,P49)+COUNTIF(L:L,P49)</f>
        <v>0</v>
      </c>
      <c r="U49" s="43">
        <f>COUNTIF(M:M,P49)</f>
        <v>0</v>
      </c>
      <c r="V49" s="43">
        <f>SUMIF(E:E,P49,F:F)+SUMIF(I:I,P49,H:H)</f>
        <v>0</v>
      </c>
      <c r="W49" s="43">
        <f>SUMIF(E:E,P49,H:H)+SUMIF(I:I,P49,F:F)</f>
        <v>0</v>
      </c>
      <c r="X49" s="43">
        <f t="shared" si="129"/>
        <v>0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2</v>
      </c>
      <c r="AC49" s="44">
        <v>3</v>
      </c>
      <c r="AD49" s="50"/>
      <c r="AE49" s="132">
        <v>3</v>
      </c>
      <c r="AF49" s="83" t="str">
        <f t="shared" si="134"/>
        <v>Pachuca</v>
      </c>
      <c r="AG49" s="90">
        <f t="shared" si="135"/>
        <v>0</v>
      </c>
      <c r="AH49" s="90">
        <f t="shared" si="136"/>
        <v>0</v>
      </c>
      <c r="AI49" s="90">
        <f t="shared" si="137"/>
        <v>0</v>
      </c>
      <c r="AJ49" s="90">
        <f t="shared" si="138"/>
        <v>0</v>
      </c>
      <c r="AK49" s="90">
        <f t="shared" si="139"/>
        <v>0</v>
      </c>
      <c r="AL49" s="90">
        <f t="shared" si="140"/>
        <v>0</v>
      </c>
      <c r="AM49" s="90">
        <f t="shared" si="141"/>
        <v>0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4</v>
      </c>
      <c r="P50" s="53" t="str">
        <f>Sorteios!L17</f>
        <v>Red Bull Salzburg</v>
      </c>
      <c r="Q50" s="57">
        <f t="shared" si="127"/>
        <v>0</v>
      </c>
      <c r="R50" s="57">
        <f t="shared" si="128"/>
        <v>0</v>
      </c>
      <c r="S50" s="43">
        <f>COUNTIF(J:J,P50)</f>
        <v>0</v>
      </c>
      <c r="T50" s="43">
        <f>COUNTIF(K:K,P50)+COUNTIF(L:L,P50)</f>
        <v>0</v>
      </c>
      <c r="U50" s="43">
        <f>COUNTIF(M:M,P50)</f>
        <v>0</v>
      </c>
      <c r="V50" s="57">
        <f>SUMIF(E:E,P50,F:F)+SUMIF(I:I,P50,H:H)</f>
        <v>0</v>
      </c>
      <c r="W50" s="57">
        <f>SUMIF(E:E,P50,H:H)+SUMIF(I:I,P50,F:F)</f>
        <v>0</v>
      </c>
      <c r="X50" s="57">
        <f t="shared" si="129"/>
        <v>0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3</v>
      </c>
      <c r="AC50" s="58">
        <v>4</v>
      </c>
      <c r="AD50" s="61"/>
      <c r="AE50" s="132">
        <v>4</v>
      </c>
      <c r="AF50" s="84" t="str">
        <f t="shared" si="134"/>
        <v>Red Bull Salzburg</v>
      </c>
      <c r="AG50" s="92">
        <f t="shared" si="135"/>
        <v>0</v>
      </c>
      <c r="AH50" s="92">
        <f t="shared" si="136"/>
        <v>0</v>
      </c>
      <c r="AI50" s="92">
        <f t="shared" si="137"/>
        <v>0</v>
      </c>
      <c r="AJ50" s="92">
        <f t="shared" si="138"/>
        <v>0</v>
      </c>
      <c r="AK50" s="92">
        <f t="shared" si="139"/>
        <v>0</v>
      </c>
      <c r="AL50" s="92">
        <f t="shared" si="140"/>
        <v>0</v>
      </c>
      <c r="AM50" s="92">
        <f t="shared" si="141"/>
        <v>0</v>
      </c>
      <c r="AN50" s="93">
        <f t="shared" si="142"/>
        <v>0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109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5" t="s">
        <v>61</v>
      </c>
      <c r="C4" s="176"/>
      <c r="D4" s="176"/>
      <c r="E4" s="176"/>
      <c r="F4" s="176"/>
      <c r="G4" s="176"/>
      <c r="H4" s="176"/>
      <c r="I4" s="176"/>
      <c r="J4" s="176"/>
      <c r="K4" s="177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78" t="s">
        <v>12</v>
      </c>
      <c r="F5" s="178"/>
      <c r="G5" s="178" t="s">
        <v>13</v>
      </c>
      <c r="H5" s="178"/>
      <c r="I5" s="178"/>
      <c r="J5" s="178" t="s">
        <v>12</v>
      </c>
      <c r="K5" s="179"/>
      <c r="L5" s="113"/>
      <c r="M5" s="113"/>
      <c r="N5" s="113"/>
      <c r="O5" s="113"/>
      <c r="P5" s="113"/>
      <c r="Q5" s="113"/>
    </row>
    <row r="6" spans="1:17" x14ac:dyDescent="0.25">
      <c r="B6" s="151" t="s">
        <v>60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Grupos'!AF23,"2º do Grupo B")</f>
        <v>2º do Grupo B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102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103</v>
      </c>
      <c r="C8" s="123">
        <v>45837</v>
      </c>
      <c r="D8" s="40" t="s">
        <v>42</v>
      </c>
      <c r="E8" s="11" t="str">
        <f>IF('Fase de Grupos'!AH11=3,'Fase de Grupos'!AF11,"1º do Grupo B")</f>
        <v>1º do Grupo B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104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105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106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107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5" t="s">
        <v>62</v>
      </c>
      <c r="C16" s="176"/>
      <c r="D16" s="176"/>
      <c r="E16" s="176"/>
      <c r="F16" s="176"/>
      <c r="G16" s="176"/>
      <c r="H16" s="176"/>
      <c r="I16" s="176"/>
      <c r="J16" s="176"/>
      <c r="K16" s="177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78" t="s">
        <v>12</v>
      </c>
      <c r="F17" s="178"/>
      <c r="G17" s="178" t="s">
        <v>13</v>
      </c>
      <c r="H17" s="178"/>
      <c r="I17" s="178"/>
      <c r="J17" s="178" t="s">
        <v>12</v>
      </c>
      <c r="K17" s="179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5" t="s">
        <v>63</v>
      </c>
      <c r="C24" s="176"/>
      <c r="D24" s="176"/>
      <c r="E24" s="176"/>
      <c r="F24" s="176"/>
      <c r="G24" s="176"/>
      <c r="H24" s="176"/>
      <c r="I24" s="176"/>
      <c r="J24" s="176"/>
      <c r="K24" s="177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78" t="s">
        <v>12</v>
      </c>
      <c r="F25" s="178"/>
      <c r="G25" s="178" t="s">
        <v>13</v>
      </c>
      <c r="H25" s="178"/>
      <c r="I25" s="178"/>
      <c r="J25" s="178" t="s">
        <v>12</v>
      </c>
      <c r="K25" s="179"/>
    </row>
    <row r="26" spans="1:17" x14ac:dyDescent="0.25">
      <c r="B26" s="151" t="s">
        <v>64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65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5" t="s">
        <v>66</v>
      </c>
      <c r="C31" s="176"/>
      <c r="D31" s="176"/>
      <c r="E31" s="176"/>
      <c r="F31" s="176"/>
      <c r="G31" s="176"/>
      <c r="H31" s="176"/>
      <c r="I31" s="176"/>
      <c r="J31" s="176"/>
      <c r="K31" s="177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78" t="s">
        <v>12</v>
      </c>
      <c r="F32" s="178"/>
      <c r="G32" s="178" t="s">
        <v>13</v>
      </c>
      <c r="H32" s="178"/>
      <c r="I32" s="178"/>
      <c r="J32" s="178" t="s">
        <v>12</v>
      </c>
      <c r="K32" s="179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74" t="s">
        <v>67</v>
      </c>
      <c r="C36" s="174"/>
      <c r="D36" s="174"/>
      <c r="E36" s="180" t="str">
        <f>IF(M33="1º Lugar","",M33)</f>
        <v/>
      </c>
      <c r="F36" s="180"/>
      <c r="G36" s="180"/>
      <c r="H36" s="181"/>
      <c r="I36" s="181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74" t="s">
        <v>108</v>
      </c>
      <c r="C37" s="174"/>
      <c r="D37" s="174"/>
      <c r="E37" s="182" t="str">
        <f>IF(M34="2º Lugar","",M34)</f>
        <v/>
      </c>
      <c r="F37" s="182"/>
      <c r="G37" s="182"/>
      <c r="H37" s="181"/>
      <c r="I37" s="181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4:K4"/>
    <mergeCell ref="E5:F5"/>
    <mergeCell ref="G5:I5"/>
    <mergeCell ref="J5:K5"/>
    <mergeCell ref="B16:K16"/>
    <mergeCell ref="B24:K24"/>
    <mergeCell ref="E25:F25"/>
    <mergeCell ref="G25:I25"/>
    <mergeCell ref="J25:K25"/>
    <mergeCell ref="E17:F17"/>
    <mergeCell ref="G17:I17"/>
    <mergeCell ref="J17:K17"/>
    <mergeCell ref="B37:D37"/>
    <mergeCell ref="B31:K31"/>
    <mergeCell ref="E32:F32"/>
    <mergeCell ref="G32:I32"/>
    <mergeCell ref="J32:K32"/>
    <mergeCell ref="B36:D3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6">
      <formula>Q6="emp"</formula>
    </cfRule>
    <cfRule type="expression" dxfId="28" priority="12">
      <formula>$K6=$M6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3E7837-68AD-48B2-A1AB-AAB452317AF5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c8c2798-6aba-4af7-93a4-b89253b03650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c8c20e6-817c-474f-b9c2-eb2b1ac2483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2025-05-30T19:39:11Z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