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9C004B20-35B6-49E6-8924-68E165489957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5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P68" i="3"/>
  <c r="I66" i="3" s="1"/>
  <c r="M66" i="3" s="1"/>
  <c r="P69" i="3"/>
  <c r="E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J75" i="3"/>
  <c r="K75" i="3" s="1"/>
  <c r="M74" i="3"/>
  <c r="J74" i="3"/>
  <c r="K74" i="3" s="1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J69" i="3"/>
  <c r="K69" i="3" s="1"/>
  <c r="M68" i="3"/>
  <c r="J68" i="3"/>
  <c r="K68" i="3" s="1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J57" i="3"/>
  <c r="K57" i="3" s="1"/>
  <c r="M56" i="3"/>
  <c r="J56" i="3"/>
  <c r="K56" i="3" s="1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P30" i="3"/>
  <c r="E30" i="3" s="1"/>
  <c r="P25" i="3"/>
  <c r="E27" i="3" s="1"/>
  <c r="P26" i="3"/>
  <c r="E23" i="3" s="1"/>
  <c r="P27" i="3"/>
  <c r="E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P14" i="3"/>
  <c r="I12" i="3" s="1"/>
  <c r="P15" i="3"/>
  <c r="E13" i="3" s="1"/>
  <c r="P12" i="3"/>
  <c r="E10" i="3" s="1"/>
  <c r="E6" i="3"/>
  <c r="M51" i="3"/>
  <c r="J51" i="3"/>
  <c r="K51" i="3" s="1"/>
  <c r="E51" i="3"/>
  <c r="L51" i="3" s="1"/>
  <c r="M50" i="3"/>
  <c r="J50" i="3"/>
  <c r="K50" i="3" s="1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J45" i="3"/>
  <c r="K45" i="3" s="1"/>
  <c r="M44" i="3"/>
  <c r="J44" i="3"/>
  <c r="K44" i="3" s="1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J39" i="3"/>
  <c r="K39" i="3" s="1"/>
  <c r="M38" i="3"/>
  <c r="J38" i="3"/>
  <c r="K38" i="3" s="1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J33" i="3"/>
  <c r="K33" i="3" s="1"/>
  <c r="I33" i="3"/>
  <c r="E33" i="3"/>
  <c r="M32" i="3"/>
  <c r="J32" i="3"/>
  <c r="K32" i="3" s="1"/>
  <c r="M31" i="3"/>
  <c r="K31" i="3"/>
  <c r="J31" i="3"/>
  <c r="M30" i="3"/>
  <c r="J30" i="3"/>
  <c r="K30" i="3" s="1"/>
  <c r="M27" i="3"/>
  <c r="J27" i="3"/>
  <c r="K27" i="3" s="1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J15" i="3"/>
  <c r="K15" i="3" s="1"/>
  <c r="I15" i="3"/>
  <c r="M14" i="3"/>
  <c r="J14" i="3"/>
  <c r="K14" i="3" s="1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69" i="3" l="1"/>
  <c r="L68" i="3"/>
  <c r="L50" i="3"/>
  <c r="L33" i="3"/>
  <c r="L27" i="3"/>
  <c r="L26" i="3"/>
  <c r="L32" i="3"/>
  <c r="L15" i="3"/>
  <c r="L55" i="3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69" i="3" l="1"/>
  <c r="AA68" i="3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E19" i="4" s="1"/>
  <c r="AF48" i="3"/>
  <c r="AH36" i="3"/>
  <c r="AK6" i="3"/>
  <c r="AH6" i="3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AJ39" i="3"/>
  <c r="AM24" i="3"/>
  <c r="AN24" i="3"/>
  <c r="AF24" i="3"/>
  <c r="AH24" i="3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AH33" i="3"/>
  <c r="AI33" i="3"/>
  <c r="AG33" i="3"/>
  <c r="AG32" i="3"/>
  <c r="AK31" i="3"/>
  <c r="AG31" i="3"/>
  <c r="AH31" i="3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15" i="4" l="1"/>
  <c r="E15" i="4"/>
  <c r="K16" i="4"/>
  <c r="E18" i="4"/>
  <c r="K18" i="4"/>
  <c r="K8" i="4"/>
  <c r="E14" i="4"/>
  <c r="E20" i="4"/>
  <c r="E7" i="4"/>
  <c r="E6" i="4"/>
  <c r="E13" i="4"/>
  <c r="E8" i="4"/>
  <c r="M8" i="4" s="1"/>
  <c r="E27" i="4" s="1"/>
  <c r="E10" i="4"/>
  <c r="E17" i="4"/>
  <c r="E5" i="4"/>
  <c r="E11" i="4"/>
  <c r="M11" i="4" s="1"/>
  <c r="E28" i="4" s="1"/>
  <c r="K5" i="4"/>
  <c r="M5" i="4" s="1"/>
  <c r="E26" i="4" s="1"/>
  <c r="AU16" i="3"/>
  <c r="AT16" i="3"/>
  <c r="AV16" i="3"/>
  <c r="AX16" i="3"/>
  <c r="AW16" i="3"/>
  <c r="K7" i="4"/>
  <c r="M7" i="4" s="1"/>
  <c r="K26" i="4" s="1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AF55" i="3"/>
  <c r="AL57" i="3"/>
  <c r="AJ55" i="3"/>
  <c r="AG55" i="3"/>
  <c r="AN55" i="3"/>
  <c r="AH54" i="3"/>
  <c r="E9" i="4" s="1"/>
  <c r="M9" i="4" s="1"/>
  <c r="K25" i="4" s="1"/>
  <c r="AH56" i="3"/>
  <c r="AM55" i="3"/>
  <c r="AJ57" i="3"/>
  <c r="AG57" i="3"/>
  <c r="AJ56" i="3"/>
  <c r="AL54" i="3"/>
  <c r="AL56" i="3"/>
  <c r="AI54" i="3"/>
  <c r="AF56" i="3"/>
  <c r="AQ14" i="3" s="1"/>
  <c r="BA14" i="3" s="1"/>
  <c r="K10" i="4" l="1"/>
  <c r="M10" i="4" s="1"/>
  <c r="K27" i="4" s="1"/>
  <c r="AU14" i="3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AQ39" i="3"/>
  <c r="AR39" i="3" s="1"/>
  <c r="P6" i="4" s="1"/>
  <c r="AR30" i="3"/>
  <c r="Q15" i="4" l="1"/>
  <c r="R15" i="4" s="1"/>
  <c r="K12" i="4" s="1"/>
  <c r="Q14" i="4"/>
  <c r="R14" i="4" s="1"/>
  <c r="K19" i="4" s="1"/>
  <c r="Q13" i="4"/>
  <c r="R13" i="4" s="1"/>
  <c r="K9" i="4" s="1"/>
  <c r="Q12" i="4"/>
  <c r="R12" i="4" s="1"/>
  <c r="K14" i="4" s="1"/>
  <c r="Q11" i="4"/>
  <c r="R11" i="4" s="1"/>
  <c r="K6" i="4" s="1"/>
  <c r="M6" i="4" s="1"/>
  <c r="E25" i="4" s="1"/>
  <c r="Q10" i="4"/>
  <c r="R10" i="4" s="1"/>
  <c r="K13" i="4" s="1"/>
  <c r="Q9" i="4"/>
  <c r="R9" i="4" s="1"/>
  <c r="K17" i="4" s="1"/>
  <c r="Q8" i="4"/>
  <c r="R8" i="4" s="1"/>
  <c r="K11" i="4" s="1"/>
</calcChain>
</file>

<file path=xl/sharedStrings.xml><?xml version="1.0" encoding="utf-8"?>
<sst xmlns="http://schemas.openxmlformats.org/spreadsheetml/2006/main" count="8987" uniqueCount="212">
  <si>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</si>
  <si>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</si>
  <si>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</si>
  <si>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</si>
  <si>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</si>
  <si>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</si>
  <si>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</si>
  <si>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</si>
  <si>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</si>
  <si>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</si>
  <si>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</si>
  <si>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</si>
  <si>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</si>
  <si>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</si>
  <si>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</si>
  <si>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</si>
  <si>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</si>
  <si>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</si>
  <si>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</si>
  <si>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</si>
  <si>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</si>
  <si>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</si>
  <si>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</si>
  <si>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</si>
  <si>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</si>
  <si>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</si>
  <si>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</si>
  <si>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</si>
  <si>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</si>
  <si>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</si>
  <si>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</si>
  <si>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</si>
  <si>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</si>
  <si>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</si>
  <si>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</si>
  <si>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</si>
  <si>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</si>
  <si>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</si>
  <si>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</si>
  <si>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</si>
  <si>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</si>
  <si>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</si>
  <si>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</si>
  <si>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</si>
  <si>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</si>
  <si>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</si>
  <si>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</si>
  <si>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</si>
  <si>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</si>
  <si>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</si>
  <si>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</si>
  <si>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</si>
  <si>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</si>
  <si>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</si>
  <si>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</si>
  <si>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</si>
  <si>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</si>
  <si>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</si>
  <si>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</si>
  <si>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</si>
  <si>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</si>
  <si>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</si>
  <si>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</si>
  <si>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</si>
  <si>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</si>
  <si>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</si>
  <si>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</si>
  <si>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</si>
  <si>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</si>
  <si>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</si>
  <si>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</si>
  <si>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</si>
  <si>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</si>
  <si>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</si>
  <si>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</si>
  <si>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</si>
  <si>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</si>
  <si>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</si>
  <si>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</si>
  <si>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</si>
  <si>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</si>
  <si>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</si>
  <si>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</si>
  <si>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</si>
  <si>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</si>
  <si>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</si>
  <si>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</si>
  <si>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</si>
  <si>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</si>
  <si>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</si>
  <si>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</si>
  <si>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</si>
  <si>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</si>
  <si>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</si>
  <si>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</si>
  <si>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</si>
  <si>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</si>
  <si>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</si>
  <si>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</si>
  <si>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</si>
  <si>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</si>
  <si>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</si>
  <si>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</si>
  <si>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</si>
  <si>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</si>
  <si>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</si>
  <si>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</si>
  <si>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</si>
  <si>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</si>
  <si>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</si>
  <si>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</si>
  <si>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</si>
  <si>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</si>
  <si>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</si>
  <si>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</si>
  <si>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</si>
  <si>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</si>
  <si>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</si>
  <si>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</si>
  <si>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</si>
  <si>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</si>
  <si>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</si>
  <si>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</si>
  <si>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</si>
  <si>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</si>
  <si>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</si>
  <si>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</si>
  <si>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</si>
  <si>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</si>
  <si>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</si>
  <si>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</si>
  <si>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</si>
  <si>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</si>
  <si>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</si>
  <si>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</si>
  <si>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</si>
  <si>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</si>
  <si>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</si>
  <si>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</si>
  <si>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</si>
  <si>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</si>
  <si>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</si>
  <si>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</si>
  <si>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</si>
  <si>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</si>
  <si>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</si>
  <si>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</si>
  <si>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</si>
  <si>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</si>
  <si>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</si>
  <si>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</si>
  <si>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</si>
  <si>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</si>
  <si>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</si>
  <si>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</si>
  <si>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</si>
  <si>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</si>
  <si>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</si>
  <si>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</si>
  <si>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</si>
  <si>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</si>
  <si>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</si>
  <si>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</si>
  <si>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</si>
  <si>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</si>
  <si>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</si>
  <si>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</si>
  <si>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</si>
  <si>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</si>
  <si>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</si>
  <si>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</si>
  <si>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</si>
  <si>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</si>
  <si>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</si>
  <si>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</si>
  <si>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</si>
  <si>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</si>
  <si>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</si>
  <si>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</si>
  <si>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</si>
  <si>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</si>
  <si>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</si>
  <si>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</si>
  <si>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</si>
  <si>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</si>
  <si>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</si>
  <si>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</si>
  <si>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</si>
  <si>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</si>
  <si>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</si>
  <si>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</si>
  <si>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</si>
  <si>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</si>
  <si>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</si>
  <si>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</si>
  <si>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</si>
  <si>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</si>
  <si>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</si>
  <si>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</si>
  <si>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</si>
  <si>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</si>
  <si>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</si>
  <si>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</si>
  <si>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</si>
  <si>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</si>
  <si>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</si>
  <si>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</si>
  <si>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</si>
  <si>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</si>
  <si>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</si>
  <si>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</si>
  <si>
    <t>Apoio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</si>
</sst>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1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7" fillId="5" borderId="0" xfId="0" applyFont="1" applyFill="1" applyBorder="1" applyAlignment="1"/>
    <xf numFmtId="0" fontId="7" fillId="5" borderId="43" xfId="0" applyFont="1" applyFill="1" applyBorder="1" applyAlignment="1"/>
    <xf numFmtId="0" fontId="7" fillId="5" borderId="44" xfId="0" applyFont="1" applyFill="1" applyBorder="1" applyAlignment="1">
      <alignment horizontal="right" indent="2"/>
    </xf>
    <xf numFmtId="0" fontId="7" fillId="5" borderId="44" xfId="0" applyFont="1" applyFill="1" applyBorder="1" applyAlignment="1">
      <alignment horizontal="right" indent="1"/>
    </xf>
    <xf numFmtId="0" fontId="0" fillId="5" borderId="26" xfId="0" applyFill="1" applyBorder="1" applyAlignment="1"/>
    <xf numFmtId="0" fontId="0" fillId="5" borderId="19" xfId="0" applyFill="1" applyBorder="1" applyAlignment="1"/>
    <xf numFmtId="0" fontId="0" fillId="5" borderId="24" xfId="0" applyFill="1" applyBorder="1" applyAlignment="1">
      <alignment horizontal="right" indent="1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9.png"/><Relationship Id="rId18" Type="http://schemas.openxmlformats.org/officeDocument/2006/relationships/image" Target="../media/image34.png"/><Relationship Id="rId26" Type="http://schemas.openxmlformats.org/officeDocument/2006/relationships/image" Target="../media/image42.png"/><Relationship Id="rId39" Type="http://schemas.openxmlformats.org/officeDocument/2006/relationships/image" Target="../media/image55.jpeg"/><Relationship Id="rId21" Type="http://schemas.openxmlformats.org/officeDocument/2006/relationships/image" Target="../media/image37.png"/><Relationship Id="rId34" Type="http://schemas.openxmlformats.org/officeDocument/2006/relationships/image" Target="../media/image50.png"/><Relationship Id="rId42" Type="http://schemas.openxmlformats.org/officeDocument/2006/relationships/image" Target="../media/image58.jpeg"/><Relationship Id="rId47" Type="http://schemas.openxmlformats.org/officeDocument/2006/relationships/image" Target="../media/image63.png"/><Relationship Id="rId50" Type="http://schemas.openxmlformats.org/officeDocument/2006/relationships/image" Target="../media/image66.gif"/><Relationship Id="rId55" Type="http://schemas.microsoft.com/office/2007/relationships/hdphoto" Target="../media/hdphoto2.wdp"/><Relationship Id="rId7" Type="http://schemas.openxmlformats.org/officeDocument/2006/relationships/image" Target="../media/image23.jpeg"/><Relationship Id="rId2" Type="http://schemas.openxmlformats.org/officeDocument/2006/relationships/image" Target="../media/image18.png"/><Relationship Id="rId16" Type="http://schemas.openxmlformats.org/officeDocument/2006/relationships/image" Target="../media/image32.jpeg"/><Relationship Id="rId29" Type="http://schemas.openxmlformats.org/officeDocument/2006/relationships/image" Target="../media/image45.png"/><Relationship Id="rId11" Type="http://schemas.openxmlformats.org/officeDocument/2006/relationships/image" Target="../media/image27.png"/><Relationship Id="rId24" Type="http://schemas.openxmlformats.org/officeDocument/2006/relationships/image" Target="../media/image40.png"/><Relationship Id="rId32" Type="http://schemas.openxmlformats.org/officeDocument/2006/relationships/image" Target="../media/image48.png"/><Relationship Id="rId37" Type="http://schemas.openxmlformats.org/officeDocument/2006/relationships/image" Target="../media/image53.png"/><Relationship Id="rId40" Type="http://schemas.openxmlformats.org/officeDocument/2006/relationships/image" Target="../media/image56.jpeg"/><Relationship Id="rId45" Type="http://schemas.openxmlformats.org/officeDocument/2006/relationships/image" Target="../media/image61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1.png"/><Relationship Id="rId61" Type="http://schemas.microsoft.com/office/2007/relationships/hdphoto" Target="../media/hdphoto5.wdp"/><Relationship Id="rId19" Type="http://schemas.openxmlformats.org/officeDocument/2006/relationships/image" Target="../media/image35.png"/><Relationship Id="rId14" Type="http://schemas.openxmlformats.org/officeDocument/2006/relationships/image" Target="../media/image30.png"/><Relationship Id="rId22" Type="http://schemas.openxmlformats.org/officeDocument/2006/relationships/image" Target="../media/image38.png"/><Relationship Id="rId27" Type="http://schemas.openxmlformats.org/officeDocument/2006/relationships/image" Target="../media/image43.png"/><Relationship Id="rId30" Type="http://schemas.openxmlformats.org/officeDocument/2006/relationships/image" Target="../media/image46.png"/><Relationship Id="rId35" Type="http://schemas.openxmlformats.org/officeDocument/2006/relationships/image" Target="../media/image51.jpeg"/><Relationship Id="rId43" Type="http://schemas.openxmlformats.org/officeDocument/2006/relationships/image" Target="../media/image59.png"/><Relationship Id="rId48" Type="http://schemas.openxmlformats.org/officeDocument/2006/relationships/image" Target="../media/image64.png"/><Relationship Id="rId56" Type="http://schemas.openxmlformats.org/officeDocument/2006/relationships/image" Target="../media/image7.png"/><Relationship Id="rId8" Type="http://schemas.openxmlformats.org/officeDocument/2006/relationships/image" Target="../media/image24.png"/><Relationship Id="rId51" Type="http://schemas.openxmlformats.org/officeDocument/2006/relationships/image" Target="../media/image67.jpeg"/><Relationship Id="rId3" Type="http://schemas.openxmlformats.org/officeDocument/2006/relationships/image" Target="../media/image19.png"/><Relationship Id="rId12" Type="http://schemas.openxmlformats.org/officeDocument/2006/relationships/image" Target="../media/image28.png"/><Relationship Id="rId17" Type="http://schemas.openxmlformats.org/officeDocument/2006/relationships/image" Target="../media/image33.jpeg"/><Relationship Id="rId25" Type="http://schemas.openxmlformats.org/officeDocument/2006/relationships/image" Target="../media/image41.png"/><Relationship Id="rId33" Type="http://schemas.openxmlformats.org/officeDocument/2006/relationships/image" Target="../media/image49.jpeg"/><Relationship Id="rId38" Type="http://schemas.openxmlformats.org/officeDocument/2006/relationships/image" Target="../media/image54.png"/><Relationship Id="rId46" Type="http://schemas.openxmlformats.org/officeDocument/2006/relationships/image" Target="../media/image62.png"/><Relationship Id="rId59" Type="http://schemas.microsoft.com/office/2007/relationships/hdphoto" Target="../media/hdphoto6.wdp"/><Relationship Id="rId20" Type="http://schemas.openxmlformats.org/officeDocument/2006/relationships/image" Target="../media/image36.png"/><Relationship Id="rId41" Type="http://schemas.openxmlformats.org/officeDocument/2006/relationships/image" Target="../media/image57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2.png"/><Relationship Id="rId15" Type="http://schemas.openxmlformats.org/officeDocument/2006/relationships/image" Target="../media/image31.png"/><Relationship Id="rId23" Type="http://schemas.openxmlformats.org/officeDocument/2006/relationships/image" Target="../media/image39.jpeg"/><Relationship Id="rId28" Type="http://schemas.openxmlformats.org/officeDocument/2006/relationships/image" Target="../media/image44.png"/><Relationship Id="rId36" Type="http://schemas.openxmlformats.org/officeDocument/2006/relationships/image" Target="../media/image52.png"/><Relationship Id="rId49" Type="http://schemas.openxmlformats.org/officeDocument/2006/relationships/image" Target="../media/image65.png"/><Relationship Id="rId57" Type="http://schemas.microsoft.com/office/2007/relationships/hdphoto" Target="../media/hdphoto4.wdp"/><Relationship Id="rId10" Type="http://schemas.openxmlformats.org/officeDocument/2006/relationships/image" Target="../media/image26.jpeg"/><Relationship Id="rId31" Type="http://schemas.openxmlformats.org/officeDocument/2006/relationships/image" Target="../media/image47.png"/><Relationship Id="rId44" Type="http://schemas.openxmlformats.org/officeDocument/2006/relationships/image" Target="../media/image60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61</xdr:col>
      <xdr:colOff>4763</xdr:colOff>
      <xdr:row>22</xdr:row>
      <xdr:rowOff>0</xdr:rowOff>
    </xdr:from>
    <xdr:to>
      <xdr:col>61</xdr:col>
      <xdr:colOff>766762</xdr:colOff>
      <xdr:row>25</xdr:row>
      <xdr:rowOff>190499</xdr:rowOff>
    </xdr:to>
    <xdr:pic>
      <xdr:nvPicPr>
        <xdr:cNvPr id="2" name="Imagem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5419BAC-1011-4E09-ADE6-2668E33B6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61</xdr:col>
      <xdr:colOff>769145</xdr:colOff>
      <xdr:row>22</xdr:row>
      <xdr:rowOff>0</xdr:rowOff>
    </xdr:from>
    <xdr:to>
      <xdr:col>64</xdr:col>
      <xdr:colOff>245270</xdr:colOff>
      <xdr:row>25</xdr:row>
      <xdr:rowOff>188119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588783-5929-4477-B6BE-15E2394DA1B9}"/>
            </a:ext>
          </a:extLst>
        </xdr:cNvPr>
        <xdr:cNvSpPr txBox="1"/>
      </xdr:nvSpPr>
      <xdr:spPr>
        <a:xfrm>
          <a:off x="10646570" y="4343400"/>
          <a:ext cx="1352550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29</xdr:col>
      <xdr:colOff>4763</xdr:colOff>
      <xdr:row>28</xdr:row>
      <xdr:rowOff>0</xdr:rowOff>
    </xdr:from>
    <xdr:to>
      <xdr:col>32</xdr:col>
      <xdr:colOff>223837</xdr:colOff>
      <xdr:row>31</xdr:row>
      <xdr:rowOff>190499</xdr:rowOff>
    </xdr:to>
    <xdr:pic>
      <xdr:nvPicPr>
        <xdr:cNvPr id="4" name="Imagem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AEEA6ED-56F8-5305-26CE-2D6B3691C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32</xdr:col>
      <xdr:colOff>226220</xdr:colOff>
      <xdr:row>28</xdr:row>
      <xdr:rowOff>0</xdr:rowOff>
    </xdr:from>
    <xdr:to>
      <xdr:col>32</xdr:col>
      <xdr:colOff>1378744</xdr:colOff>
      <xdr:row>31</xdr:row>
      <xdr:rowOff>188119</xdr:rowOff>
    </xdr:to>
    <xdr:sp macro="" textlink="">
      <xdr:nvSpPr>
        <xdr:cNvPr id="5" name="CaixaDeText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30368B4-4B95-1780-08EC-C6FAD6D525D1}"/>
            </a:ext>
          </a:extLst>
        </xdr:cNvPr>
        <xdr:cNvSpPr txBox="1"/>
      </xdr:nvSpPr>
      <xdr:spPr>
        <a:xfrm>
          <a:off x="9265445" y="5429250"/>
          <a:ext cx="1152524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D20" sqref="D20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8" t="s">
        <v>81</v>
      </c>
      <c r="K31" s="188"/>
      <c r="L31" s="188"/>
    </row>
    <row r="32" spans="3:15" ht="18.75" x14ac:dyDescent="0.3">
      <c r="I32" s="179" t="s">
        <v>207</v>
      </c>
      <c r="J32" s="189" t="s">
        <v>82</v>
      </c>
      <c r="K32" s="189"/>
      <c r="L32" s="189"/>
    </row>
    <row r="33" spans="9:12" ht="15.75" x14ac:dyDescent="0.25">
      <c r="I33" s="180" t="s">
        <v>208</v>
      </c>
      <c r="J33" s="190" t="s">
        <v>83</v>
      </c>
      <c r="K33" s="190"/>
      <c r="L33" s="190"/>
    </row>
  </sheetData>
  <sheetProtection algorithmName="SHA-512" hashValue="JhGV6VcDyvc3i9om8xFJD2TTjYS4KxdyrPHqfmvoUHY8jTzdLhnXdEDqhfq9o8QSGpM59e0FFua65Es5mRgoOA==" saltValue="uIq4f/wxSDvjcYmJtVUiRQ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zoomScaleNormal="10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39" width="3.7109375" style="15" customWidth="1"/>
    <col min="40" max="40" width="4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91" t="s">
        <v>18</v>
      </c>
      <c r="G3" s="191"/>
      <c r="H3" s="191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9</v>
      </c>
      <c r="R6" s="38">
        <f>SUM(S6:U6)</f>
        <v>3</v>
      </c>
      <c r="S6" s="38">
        <f>COUNTIF(J:J,P6)</f>
        <v>3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6</v>
      </c>
      <c r="W6" s="38">
        <f>SUMIF(E:E,P6,H:H)+SUMIF(I:I,P6,F:F)</f>
        <v>0</v>
      </c>
      <c r="X6" s="38">
        <f>V6-W6</f>
        <v>6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9</v>
      </c>
      <c r="AH6" s="84">
        <f>VLOOKUP($AE6,$O$6:$X$9,4,FALSE)</f>
        <v>3</v>
      </c>
      <c r="AI6" s="84">
        <f>VLOOKUP($AE6,$O$6:$X$9,5,FALSE)</f>
        <v>3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6</v>
      </c>
      <c r="AM6" s="84">
        <f>VLOOKUP($AE6,$O$6:$X$9,9,FALSE)</f>
        <v>0</v>
      </c>
      <c r="AN6" s="85">
        <f>VLOOKUP($AE6,$O$6:$X$9,10,FALSE)</f>
        <v>6</v>
      </c>
      <c r="AP6" s="48">
        <f t="shared" ref="AP6:AP17" si="4">RANK(AR6,$AR$6:$AR$17)+SUM(BB6:BE6)</f>
        <v>10</v>
      </c>
      <c r="AQ6" s="50" t="str">
        <f>AF8</f>
        <v>Coreia do Sul</v>
      </c>
      <c r="AR6" s="38">
        <f>(AT6*3)+(AU6*1)</f>
        <v>3</v>
      </c>
      <c r="AS6" s="38">
        <f>SUM(AT6:AV6)</f>
        <v>3</v>
      </c>
      <c r="AT6" s="38">
        <f t="shared" ref="AT6:AT17" si="5">VLOOKUP(AQ6,$P$5:$X$75,4,FALSE)</f>
        <v>1</v>
      </c>
      <c r="AU6" s="38">
        <f t="shared" ref="AU6:AU17" si="6">VLOOKUP(AQ6,$P$5:$X$75,5,FALSE)</f>
        <v>0</v>
      </c>
      <c r="AV6" s="38">
        <f t="shared" ref="AV6:AV17" si="7">VLOOKUP(AQ6,$P$5:$X$75,6,FALSE)</f>
        <v>2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2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RD Congo</v>
      </c>
      <c r="BK6" s="84">
        <f t="shared" ref="BK6:BK17" si="15">VLOOKUP($BI6,$AP$6:$AY$17,3,FALSE)</f>
        <v>4</v>
      </c>
      <c r="BL6" s="84">
        <f t="shared" ref="BL6:BL17" si="16">VLOOKUP($BI6,$AP$6:$AY$17,4,FALSE)</f>
        <v>3</v>
      </c>
      <c r="BM6" s="84">
        <f t="shared" ref="BM6:BM17" si="17">VLOOKUP($BI6,$AP$6:$AY$17,5,FALSE)</f>
        <v>1</v>
      </c>
      <c r="BN6" s="84">
        <f t="shared" ref="BN6:BN17" si="18">VLOOKUP($BI6,$AP$6:$AY$17,6,FALSE)</f>
        <v>1</v>
      </c>
      <c r="BO6" s="84">
        <f t="shared" ref="BO6:BO17" si="19">VLOOKUP($BI6,$AP$6:$AY$17,7,FALSE)</f>
        <v>1</v>
      </c>
      <c r="BP6" s="84">
        <f t="shared" ref="BP6:BP17" si="20">VLOOKUP($BI6,$AP$6:$AY$17,8,FALSE)</f>
        <v>4</v>
      </c>
      <c r="BQ6" s="84">
        <f t="shared" ref="BQ6:BQ17" si="21">VLOOKUP($BI6,$AP$6:$AY$17,9,FALSE)</f>
        <v>3</v>
      </c>
      <c r="BR6" s="85">
        <f t="shared" ref="BR6:BR17" si="22">VLOOKUP($BI6,$AP$6:$AY$17,10,FALSE)</f>
        <v>1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4</v>
      </c>
      <c r="R7" s="38">
        <f t="shared" ref="R7:R9" si="24">SUM(S7:U7)</f>
        <v>3</v>
      </c>
      <c r="S7" s="38">
        <f>COUNTIF(J:J,P7)</f>
        <v>1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2</v>
      </c>
      <c r="W7" s="38">
        <f>SUMIF(E:E,P7,H:H)+SUMIF(I:I,P7,F:F)</f>
        <v>3</v>
      </c>
      <c r="X7" s="38">
        <f t="shared" ref="X7:X9" si="25">V7-W7</f>
        <v>-1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4</v>
      </c>
      <c r="AH7" s="84">
        <f>VLOOKUP($AE7,$O$6:$X$9,4,FALSE)</f>
        <v>3</v>
      </c>
      <c r="AI7" s="84">
        <f>VLOOKUP($AE7,$O$6:$X$9,5,FALSE)</f>
        <v>1</v>
      </c>
      <c r="AJ7" s="84">
        <f>VLOOKUP($AE7,$O$6:$X$9,6,FALSE)</f>
        <v>1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3</v>
      </c>
      <c r="AN7" s="85">
        <f>VLOOKUP($AE7,$O$6:$X$9,10,FALSE)</f>
        <v>-1</v>
      </c>
      <c r="AP7" s="48">
        <f t="shared" si="4"/>
        <v>5</v>
      </c>
      <c r="AQ7" s="50" t="str">
        <f>AF14</f>
        <v>Bósnia</v>
      </c>
      <c r="AR7" s="38">
        <f t="shared" ref="AR7:AR17" si="26">(AT7*3)+(AU7*1)</f>
        <v>4</v>
      </c>
      <c r="AS7" s="38">
        <f t="shared" ref="AS7:AS17" si="27">SUM(AT7:AV7)</f>
        <v>3</v>
      </c>
      <c r="AT7" s="38">
        <f t="shared" si="5"/>
        <v>1</v>
      </c>
      <c r="AU7" s="38">
        <f t="shared" si="6"/>
        <v>1</v>
      </c>
      <c r="AV7" s="38">
        <f t="shared" si="7"/>
        <v>1</v>
      </c>
      <c r="AW7" s="38">
        <f t="shared" si="8"/>
        <v>5</v>
      </c>
      <c r="AX7" s="38">
        <f t="shared" si="9"/>
        <v>6</v>
      </c>
      <c r="AY7" s="38">
        <f t="shared" ref="AY7:AY17" si="28">AW7-AX7</f>
        <v>-1</v>
      </c>
      <c r="AZ7" s="38" t="s">
        <v>48</v>
      </c>
      <c r="BA7" s="38" t="str">
        <f t="shared" ref="BA7:BA17" si="29">AQ7</f>
        <v>Bósnia</v>
      </c>
      <c r="BB7" s="38">
        <f t="shared" si="10"/>
        <v>4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Suécia</v>
      </c>
      <c r="BK7" s="84">
        <f t="shared" si="15"/>
        <v>4</v>
      </c>
      <c r="BL7" s="84">
        <f t="shared" si="16"/>
        <v>3</v>
      </c>
      <c r="BM7" s="84">
        <f t="shared" si="17"/>
        <v>1</v>
      </c>
      <c r="BN7" s="84">
        <f t="shared" si="18"/>
        <v>1</v>
      </c>
      <c r="BO7" s="84">
        <f t="shared" si="19"/>
        <v>1</v>
      </c>
      <c r="BP7" s="84">
        <f t="shared" si="20"/>
        <v>7</v>
      </c>
      <c r="BQ7" s="84">
        <f t="shared" si="21"/>
        <v>7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>
        <v>0</v>
      </c>
      <c r="G8" s="84" t="s">
        <v>22</v>
      </c>
      <c r="H8" s="123">
        <v>3</v>
      </c>
      <c r="I8" s="107" t="str">
        <f>P6</f>
        <v>México</v>
      </c>
      <c r="J8" s="38" t="str">
        <f t="shared" si="0"/>
        <v>México</v>
      </c>
      <c r="K8" s="38" t="str">
        <f t="shared" si="1"/>
        <v/>
      </c>
      <c r="L8" s="38" t="str">
        <f t="shared" si="2"/>
        <v/>
      </c>
      <c r="M8" s="39" t="str">
        <f t="shared" si="3"/>
        <v>República Tcheca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3</v>
      </c>
      <c r="R8" s="38">
        <f t="shared" si="24"/>
        <v>3</v>
      </c>
      <c r="S8" s="38">
        <f>COUNTIF(J:J,P8)</f>
        <v>1</v>
      </c>
      <c r="T8" s="38">
        <f>COUNTIF(K:K,P8)+COUNTIF(L:L,P8)</f>
        <v>0</v>
      </c>
      <c r="U8" s="38">
        <f>COUNTIF(M:M,P8)</f>
        <v>2</v>
      </c>
      <c r="V8" s="38">
        <f>SUMIF(E:E,P8,F:F)+SUMIF(I:I,P8,H:H)</f>
        <v>2</v>
      </c>
      <c r="W8" s="38">
        <f>SUMIF(E:E,P8,H:H)+SUMIF(I:I,P8,F:F)</f>
        <v>3</v>
      </c>
      <c r="X8" s="38">
        <f t="shared" si="25"/>
        <v>-1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3</v>
      </c>
      <c r="AH8" s="84">
        <f>VLOOKUP($AE8,$O$6:$X$9,4,FALSE)</f>
        <v>3</v>
      </c>
      <c r="AI8" s="84">
        <f>VLOOKUP($AE8,$O$6:$X$9,5,FALSE)</f>
        <v>1</v>
      </c>
      <c r="AJ8" s="84">
        <f>VLOOKUP($AE8,$O$6:$X$9,6,FALSE)</f>
        <v>0</v>
      </c>
      <c r="AK8" s="84">
        <f>VLOOKUP($AE8,$O$6:$X$9,7,FALSE)</f>
        <v>2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11</v>
      </c>
      <c r="AQ8" s="50" t="str">
        <f>AF20</f>
        <v>Escócia</v>
      </c>
      <c r="AR8" s="38">
        <f t="shared" si="26"/>
        <v>3</v>
      </c>
      <c r="AS8" s="38">
        <f t="shared" si="27"/>
        <v>3</v>
      </c>
      <c r="AT8" s="38">
        <f t="shared" si="5"/>
        <v>1</v>
      </c>
      <c r="AU8" s="38">
        <f t="shared" si="6"/>
        <v>0</v>
      </c>
      <c r="AV8" s="38">
        <f t="shared" si="7"/>
        <v>2</v>
      </c>
      <c r="AW8" s="38">
        <f t="shared" si="8"/>
        <v>1</v>
      </c>
      <c r="AX8" s="38">
        <f t="shared" si="9"/>
        <v>4</v>
      </c>
      <c r="AY8" s="38">
        <f t="shared" si="28"/>
        <v>-3</v>
      </c>
      <c r="AZ8" s="38" t="s">
        <v>50</v>
      </c>
      <c r="BA8" s="38" t="str">
        <f t="shared" si="29"/>
        <v>Escócia</v>
      </c>
      <c r="BB8" s="38">
        <f t="shared" si="10"/>
        <v>3</v>
      </c>
      <c r="BC8" s="38">
        <f t="shared" si="11"/>
        <v>0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Equador</v>
      </c>
      <c r="BK8" s="84">
        <f t="shared" si="15"/>
        <v>4</v>
      </c>
      <c r="BL8" s="84">
        <f t="shared" si="16"/>
        <v>3</v>
      </c>
      <c r="BM8" s="84">
        <f t="shared" si="17"/>
        <v>1</v>
      </c>
      <c r="BN8" s="84">
        <f t="shared" si="18"/>
        <v>1</v>
      </c>
      <c r="BO8" s="84">
        <f t="shared" si="19"/>
        <v>1</v>
      </c>
      <c r="BP8" s="84">
        <f t="shared" si="20"/>
        <v>2</v>
      </c>
      <c r="BQ8" s="84">
        <f t="shared" si="21"/>
        <v>2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>
        <v>1</v>
      </c>
      <c r="G9" s="87" t="s">
        <v>22</v>
      </c>
      <c r="H9" s="124">
        <v>0</v>
      </c>
      <c r="I9" s="109" t="str">
        <f>P8</f>
        <v>Coreia do Sul</v>
      </c>
      <c r="J9" s="53" t="str">
        <f t="shared" si="0"/>
        <v>África do Sul</v>
      </c>
      <c r="K9" s="53" t="str">
        <f t="shared" si="1"/>
        <v/>
      </c>
      <c r="L9" s="53" t="str">
        <f t="shared" si="2"/>
        <v/>
      </c>
      <c r="M9" s="54" t="str">
        <f t="shared" si="3"/>
        <v>Coreia do Sul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1</v>
      </c>
      <c r="R9" s="38">
        <f t="shared" si="24"/>
        <v>3</v>
      </c>
      <c r="S9" s="38">
        <f>COUNTIF(J:J,P9)</f>
        <v>0</v>
      </c>
      <c r="T9" s="38">
        <f>COUNTIF(K:K,P9)+COUNTIF(L:L,P9)</f>
        <v>1</v>
      </c>
      <c r="U9" s="38">
        <f>COUNTIF(M:M,P9)</f>
        <v>2</v>
      </c>
      <c r="V9" s="38">
        <f>SUMIF(E:E,P9,F:F)+SUMIF(I:I,P9,H:H)</f>
        <v>2</v>
      </c>
      <c r="W9" s="38">
        <f>SUMIF(E:E,P9,H:H)+SUMIF(I:I,P9,F:F)</f>
        <v>6</v>
      </c>
      <c r="X9" s="38">
        <f t="shared" si="25"/>
        <v>-4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1</v>
      </c>
      <c r="AH9" s="87">
        <f>VLOOKUP($AE9,$O$6:$X$9,4,FALSE)</f>
        <v>3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2</v>
      </c>
      <c r="AL9" s="87">
        <f>VLOOKUP($AE9,$O$6:$X$9,8,FALSE)</f>
        <v>2</v>
      </c>
      <c r="AM9" s="87">
        <f>VLOOKUP($AE9,$O$6:$X$9,9,FALSE)</f>
        <v>6</v>
      </c>
      <c r="AN9" s="88">
        <f>VLOOKUP($AE9,$O$6:$X$9,10,FALSE)</f>
        <v>-4</v>
      </c>
      <c r="AP9" s="48">
        <f t="shared" si="4"/>
        <v>7</v>
      </c>
      <c r="AQ9" s="50" t="str">
        <f>AF26</f>
        <v>Paraguai</v>
      </c>
      <c r="AR9" s="38">
        <f t="shared" si="26"/>
        <v>4</v>
      </c>
      <c r="AS9" s="38">
        <f t="shared" si="27"/>
        <v>3</v>
      </c>
      <c r="AT9" s="38">
        <f t="shared" si="5"/>
        <v>1</v>
      </c>
      <c r="AU9" s="38">
        <f t="shared" si="6"/>
        <v>1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5</v>
      </c>
      <c r="BC9" s="38">
        <f t="shared" si="11"/>
        <v>1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Gana</v>
      </c>
      <c r="BK9" s="84">
        <f t="shared" si="15"/>
        <v>4</v>
      </c>
      <c r="BL9" s="84">
        <f t="shared" si="16"/>
        <v>3</v>
      </c>
      <c r="BM9" s="84">
        <f t="shared" si="17"/>
        <v>1</v>
      </c>
      <c r="BN9" s="84">
        <f t="shared" si="18"/>
        <v>1</v>
      </c>
      <c r="BO9" s="84">
        <f t="shared" si="19"/>
        <v>1</v>
      </c>
      <c r="BP9" s="84">
        <f t="shared" si="20"/>
        <v>2</v>
      </c>
      <c r="BQ9" s="84">
        <f t="shared" si="21"/>
        <v>2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3</v>
      </c>
      <c r="AQ10" s="50" t="str">
        <f>AF32</f>
        <v>Equador</v>
      </c>
      <c r="AR10" s="38">
        <f t="shared" si="26"/>
        <v>4</v>
      </c>
      <c r="AS10" s="38">
        <f t="shared" si="27"/>
        <v>3</v>
      </c>
      <c r="AT10" s="38">
        <f t="shared" si="5"/>
        <v>1</v>
      </c>
      <c r="AU10" s="38">
        <f t="shared" si="6"/>
        <v>1</v>
      </c>
      <c r="AV10" s="38">
        <f t="shared" si="7"/>
        <v>1</v>
      </c>
      <c r="AW10" s="38">
        <f t="shared" si="8"/>
        <v>2</v>
      </c>
      <c r="AX10" s="38">
        <f t="shared" si="9"/>
        <v>2</v>
      </c>
      <c r="AY10" s="38">
        <f t="shared" si="28"/>
        <v>0</v>
      </c>
      <c r="AZ10" s="38" t="s">
        <v>44</v>
      </c>
      <c r="BA10" s="38" t="str">
        <f t="shared" si="29"/>
        <v>Equador</v>
      </c>
      <c r="BB10" s="38">
        <f t="shared" si="10"/>
        <v>1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Bósnia</v>
      </c>
      <c r="BK10" s="84">
        <f t="shared" si="15"/>
        <v>4</v>
      </c>
      <c r="BL10" s="84">
        <f t="shared" si="16"/>
        <v>3</v>
      </c>
      <c r="BM10" s="84">
        <f t="shared" si="17"/>
        <v>1</v>
      </c>
      <c r="BN10" s="84">
        <f t="shared" si="18"/>
        <v>1</v>
      </c>
      <c r="BO10" s="84">
        <f t="shared" si="19"/>
        <v>1</v>
      </c>
      <c r="BP10" s="84">
        <f t="shared" si="20"/>
        <v>5</v>
      </c>
      <c r="BQ10" s="84">
        <f t="shared" si="21"/>
        <v>6</v>
      </c>
      <c r="BR10" s="85">
        <f t="shared" si="22"/>
        <v>-1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2</v>
      </c>
      <c r="AQ11" s="50" t="str">
        <f>AF38</f>
        <v>Suécia</v>
      </c>
      <c r="AR11" s="38">
        <f t="shared" si="26"/>
        <v>4</v>
      </c>
      <c r="AS11" s="38">
        <f t="shared" si="27"/>
        <v>3</v>
      </c>
      <c r="AT11" s="38">
        <f t="shared" si="5"/>
        <v>1</v>
      </c>
      <c r="AU11" s="38">
        <f t="shared" si="6"/>
        <v>1</v>
      </c>
      <c r="AV11" s="38">
        <f t="shared" si="7"/>
        <v>1</v>
      </c>
      <c r="AW11" s="38">
        <f t="shared" si="8"/>
        <v>7</v>
      </c>
      <c r="AX11" s="38">
        <f t="shared" si="9"/>
        <v>7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1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Argélia</v>
      </c>
      <c r="BK11" s="84">
        <f t="shared" si="15"/>
        <v>4</v>
      </c>
      <c r="BL11" s="84">
        <f t="shared" si="16"/>
        <v>3</v>
      </c>
      <c r="BM11" s="84">
        <f t="shared" si="17"/>
        <v>1</v>
      </c>
      <c r="BN11" s="84">
        <f t="shared" si="18"/>
        <v>1</v>
      </c>
      <c r="BO11" s="84">
        <f t="shared" si="19"/>
        <v>1</v>
      </c>
      <c r="BP11" s="84">
        <f t="shared" si="20"/>
        <v>5</v>
      </c>
      <c r="BQ11" s="84">
        <f t="shared" si="21"/>
        <v>7</v>
      </c>
      <c r="BR11" s="85">
        <f t="shared" si="22"/>
        <v>-2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2</v>
      </c>
      <c r="P12" s="49" t="str">
        <f>Sorteios!F6</f>
        <v>Canadá</v>
      </c>
      <c r="Q12" s="38">
        <f>(S12*3)+(T12*1)</f>
        <v>4</v>
      </c>
      <c r="R12" s="38">
        <f>SUM(S12:U12)</f>
        <v>3</v>
      </c>
      <c r="S12" s="38">
        <f>COUNTIF(J:J,P12)</f>
        <v>1</v>
      </c>
      <c r="T12" s="38">
        <f>COUNTIF(K:K,P12)+COUNTIF(L:L,P12)</f>
        <v>1</v>
      </c>
      <c r="U12" s="38">
        <f>COUNTIF(M:M,P12)</f>
        <v>1</v>
      </c>
      <c r="V12" s="38">
        <f>SUMIF(E:E,P12,F:F)+SUMIF(I:I,P12,H:H)</f>
        <v>8</v>
      </c>
      <c r="W12" s="38">
        <f>SUMIF(E:E,P12,H:H)+SUMIF(I:I,P12,F:F)</f>
        <v>3</v>
      </c>
      <c r="X12" s="38">
        <f>V12-W12</f>
        <v>5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Suiça</v>
      </c>
      <c r="AG12" s="84">
        <f>VLOOKUP($AE12,$O$12:$X$15,3,FALSE)</f>
        <v>7</v>
      </c>
      <c r="AH12" s="84">
        <f>VLOOKUP($AE12,$O$12:$X$15,4,FALSE)</f>
        <v>3</v>
      </c>
      <c r="AI12" s="84">
        <f>VLOOKUP($AE12,$O$12:$X$15,5,FALSE)</f>
        <v>2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3</v>
      </c>
      <c r="AN12" s="85">
        <f>VLOOKUP($AE12,$O$12:$X$15,10,FALSE)</f>
        <v>4</v>
      </c>
      <c r="AP12" s="48">
        <f t="shared" si="4"/>
        <v>9</v>
      </c>
      <c r="AQ12" s="50" t="str">
        <f>AF44</f>
        <v>Irã</v>
      </c>
      <c r="AR12" s="38">
        <f t="shared" si="26"/>
        <v>3</v>
      </c>
      <c r="AS12" s="38">
        <f t="shared" si="27"/>
        <v>3</v>
      </c>
      <c r="AT12" s="38">
        <f t="shared" si="5"/>
        <v>0</v>
      </c>
      <c r="AU12" s="38">
        <f t="shared" si="6"/>
        <v>3</v>
      </c>
      <c r="AV12" s="38">
        <f t="shared" si="7"/>
        <v>0</v>
      </c>
      <c r="AW12" s="38">
        <f t="shared" si="8"/>
        <v>3</v>
      </c>
      <c r="AX12" s="38">
        <f t="shared" si="9"/>
        <v>3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1</v>
      </c>
      <c r="BC12" s="38">
        <f t="shared" si="11"/>
        <v>0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Paraguai</v>
      </c>
      <c r="BK12" s="84">
        <f t="shared" si="15"/>
        <v>4</v>
      </c>
      <c r="BL12" s="84">
        <f t="shared" si="16"/>
        <v>3</v>
      </c>
      <c r="BM12" s="84">
        <f t="shared" si="17"/>
        <v>1</v>
      </c>
      <c r="BN12" s="84">
        <f t="shared" si="18"/>
        <v>1</v>
      </c>
      <c r="BO12" s="84">
        <f t="shared" si="19"/>
        <v>1</v>
      </c>
      <c r="BP12" s="84">
        <f t="shared" si="20"/>
        <v>2</v>
      </c>
      <c r="BQ12" s="84">
        <f t="shared" si="21"/>
        <v>4</v>
      </c>
      <c r="BR12" s="85">
        <f t="shared" si="22"/>
        <v>-2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4</v>
      </c>
      <c r="R13" s="38">
        <f t="shared" ref="R13:R15" si="31">SUM(S13:U13)</f>
        <v>3</v>
      </c>
      <c r="S13" s="38">
        <f>COUNTIF(J:J,P13)</f>
        <v>1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5</v>
      </c>
      <c r="W13" s="38">
        <f>SUMIF(E:E,P13,H:H)+SUMIF(I:I,P13,F:F)</f>
        <v>6</v>
      </c>
      <c r="X13" s="38">
        <f t="shared" ref="X13:X15" si="32">V13-W13</f>
        <v>-1</v>
      </c>
      <c r="Y13" s="38">
        <f>SUMPRODUCT(($Q$12:$Q$15=Q13)*($X$12:$X$15&gt;X13))</f>
        <v>1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Canadá</v>
      </c>
      <c r="AG13" s="84">
        <f>VLOOKUP($AE13,$O$12:$X$15,3,FALSE)</f>
        <v>4</v>
      </c>
      <c r="AH13" s="84">
        <f>VLOOKUP($AE13,$O$12:$X$15,4,FALSE)</f>
        <v>3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1</v>
      </c>
      <c r="AL13" s="84">
        <f>VLOOKUP($AE13,$O$12:$X$15,8,FALSE)</f>
        <v>8</v>
      </c>
      <c r="AM13" s="84">
        <f>VLOOKUP($AE13,$O$12:$X$15,9,FALSE)</f>
        <v>3</v>
      </c>
      <c r="AN13" s="85">
        <f>VLOOKUP($AE13,$O$12:$X$15,10,FALSE)</f>
        <v>5</v>
      </c>
      <c r="AP13" s="48">
        <f t="shared" si="4"/>
        <v>12</v>
      </c>
      <c r="AQ13" s="50" t="str">
        <f>AF50</f>
        <v>Uruguai</v>
      </c>
      <c r="AR13" s="38">
        <f t="shared" si="26"/>
        <v>2</v>
      </c>
      <c r="AS13" s="38">
        <f t="shared" si="27"/>
        <v>3</v>
      </c>
      <c r="AT13" s="38">
        <f t="shared" si="5"/>
        <v>0</v>
      </c>
      <c r="AU13" s="38">
        <f t="shared" si="6"/>
        <v>2</v>
      </c>
      <c r="AV13" s="38">
        <f t="shared" si="7"/>
        <v>1</v>
      </c>
      <c r="AW13" s="38">
        <f t="shared" si="8"/>
        <v>3</v>
      </c>
      <c r="AX13" s="38">
        <f t="shared" si="9"/>
        <v>4</v>
      </c>
      <c r="AY13" s="38">
        <f t="shared" si="28"/>
        <v>-1</v>
      </c>
      <c r="AZ13" s="38" t="s">
        <v>62</v>
      </c>
      <c r="BA13" s="38" t="str">
        <f t="shared" si="29"/>
        <v>Uruguai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Senegal</v>
      </c>
      <c r="BK13" s="84">
        <f t="shared" si="15"/>
        <v>3</v>
      </c>
      <c r="BL13" s="84">
        <f t="shared" si="16"/>
        <v>3</v>
      </c>
      <c r="BM13" s="84">
        <f t="shared" si="17"/>
        <v>1</v>
      </c>
      <c r="BN13" s="84">
        <f t="shared" si="18"/>
        <v>0</v>
      </c>
      <c r="BO13" s="84">
        <f t="shared" si="19"/>
        <v>2</v>
      </c>
      <c r="BP13" s="84">
        <f t="shared" si="20"/>
        <v>8</v>
      </c>
      <c r="BQ13" s="84">
        <f t="shared" si="21"/>
        <v>6</v>
      </c>
      <c r="BR13" s="85">
        <f t="shared" si="22"/>
        <v>2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>
        <v>2</v>
      </c>
      <c r="G14" s="84" t="s">
        <v>22</v>
      </c>
      <c r="H14" s="123">
        <v>1</v>
      </c>
      <c r="I14" s="113" t="str">
        <f>P12</f>
        <v>Canadá</v>
      </c>
      <c r="J14" s="38" t="str">
        <f t="shared" si="0"/>
        <v>Suiça</v>
      </c>
      <c r="K14" s="38" t="str">
        <f t="shared" si="1"/>
        <v/>
      </c>
      <c r="L14" s="38" t="str">
        <f t="shared" si="2"/>
        <v/>
      </c>
      <c r="M14" s="39" t="str">
        <f t="shared" si="3"/>
        <v>Canadá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3</v>
      </c>
      <c r="S14" s="38">
        <f>COUNTIF(J:J,P14)</f>
        <v>0</v>
      </c>
      <c r="T14" s="38">
        <f>COUNTIF(K:K,P14)+COUNTIF(L:L,P14)</f>
        <v>1</v>
      </c>
      <c r="U14" s="38">
        <f>COUNTIF(M:M,P14)</f>
        <v>2</v>
      </c>
      <c r="V14" s="38">
        <f>SUMIF(E:E,P14,F:F)+SUMIF(I:I,P14,H:H)</f>
        <v>2</v>
      </c>
      <c r="W14" s="38">
        <f>SUMIF(E:E,P14,H:H)+SUMIF(I:I,P14,F:F)</f>
        <v>10</v>
      </c>
      <c r="X14" s="38">
        <f t="shared" si="32"/>
        <v>-8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4</v>
      </c>
      <c r="AH14" s="84">
        <f>VLOOKUP($AE14,$O$12:$X$15,4,FALSE)</f>
        <v>3</v>
      </c>
      <c r="AI14" s="84">
        <f>VLOOKUP($AE14,$O$12:$X$15,5,FALSE)</f>
        <v>1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5</v>
      </c>
      <c r="AM14" s="84">
        <f>VLOOKUP($AE14,$O$12:$X$15,9,FALSE)</f>
        <v>6</v>
      </c>
      <c r="AN14" s="85">
        <f>VLOOKUP($AE14,$O$12:$X$15,10,FALSE)</f>
        <v>-1</v>
      </c>
      <c r="AP14" s="48">
        <f t="shared" si="4"/>
        <v>8</v>
      </c>
      <c r="AQ14" s="50" t="str">
        <f>AF56</f>
        <v>Senegal</v>
      </c>
      <c r="AR14" s="38">
        <f t="shared" si="26"/>
        <v>3</v>
      </c>
      <c r="AS14" s="38">
        <f t="shared" si="27"/>
        <v>3</v>
      </c>
      <c r="AT14" s="38">
        <f t="shared" si="5"/>
        <v>1</v>
      </c>
      <c r="AU14" s="38">
        <f t="shared" si="6"/>
        <v>0</v>
      </c>
      <c r="AV14" s="38">
        <f t="shared" si="7"/>
        <v>2</v>
      </c>
      <c r="AW14" s="38">
        <f t="shared" si="8"/>
        <v>8</v>
      </c>
      <c r="AX14" s="38">
        <f t="shared" si="9"/>
        <v>6</v>
      </c>
      <c r="AY14" s="38">
        <f t="shared" si="28"/>
        <v>2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Irã</v>
      </c>
      <c r="BK14" s="84">
        <f t="shared" si="15"/>
        <v>3</v>
      </c>
      <c r="BL14" s="84">
        <f t="shared" si="16"/>
        <v>3</v>
      </c>
      <c r="BM14" s="84">
        <f t="shared" si="17"/>
        <v>0</v>
      </c>
      <c r="BN14" s="84">
        <f t="shared" si="18"/>
        <v>3</v>
      </c>
      <c r="BO14" s="84">
        <f t="shared" si="19"/>
        <v>0</v>
      </c>
      <c r="BP14" s="84">
        <f t="shared" si="20"/>
        <v>3</v>
      </c>
      <c r="BQ14" s="84">
        <f t="shared" si="21"/>
        <v>3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>
        <v>3</v>
      </c>
      <c r="G15" s="87" t="s">
        <v>22</v>
      </c>
      <c r="H15" s="124">
        <v>1</v>
      </c>
      <c r="I15" s="114" t="str">
        <f>P14</f>
        <v>Qatar</v>
      </c>
      <c r="J15" s="53" t="str">
        <f t="shared" si="0"/>
        <v>Bósnia</v>
      </c>
      <c r="K15" s="53" t="str">
        <f t="shared" si="1"/>
        <v/>
      </c>
      <c r="L15" s="53" t="str">
        <f t="shared" si="2"/>
        <v/>
      </c>
      <c r="M15" s="54" t="str">
        <f t="shared" si="3"/>
        <v>Qatar</v>
      </c>
      <c r="N15" s="55"/>
      <c r="O15" s="56">
        <f>RANK(Q15,$Q$12:$Q$15)+SUM(Y15:AB15)</f>
        <v>1</v>
      </c>
      <c r="P15" s="49" t="str">
        <f>Sorteios!F9</f>
        <v>Suiça</v>
      </c>
      <c r="Q15" s="53">
        <f t="shared" si="30"/>
        <v>7</v>
      </c>
      <c r="R15" s="53">
        <f t="shared" si="31"/>
        <v>3</v>
      </c>
      <c r="S15" s="38">
        <f>COUNTIF(J:J,P15)</f>
        <v>2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7</v>
      </c>
      <c r="W15" s="53">
        <f>SUMIF(E:E,P15,H:H)+SUMIF(I:I,P15,F:F)</f>
        <v>3</v>
      </c>
      <c r="X15" s="53">
        <f t="shared" si="32"/>
        <v>4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3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2</v>
      </c>
      <c r="AL15" s="87">
        <f>VLOOKUP($AE15,$O$12:$X$15,8,FALSE)</f>
        <v>2</v>
      </c>
      <c r="AM15" s="87">
        <f>VLOOKUP($AE15,$O$12:$X$15,9,FALSE)</f>
        <v>10</v>
      </c>
      <c r="AN15" s="88">
        <f>VLOOKUP($AE15,$O$12:$X$15,10,FALSE)</f>
        <v>-8</v>
      </c>
      <c r="AP15" s="48">
        <f t="shared" si="4"/>
        <v>6</v>
      </c>
      <c r="AQ15" s="50" t="str">
        <f>AF62</f>
        <v>Argélia</v>
      </c>
      <c r="AR15" s="38">
        <f t="shared" si="26"/>
        <v>4</v>
      </c>
      <c r="AS15" s="38">
        <f t="shared" si="27"/>
        <v>3</v>
      </c>
      <c r="AT15" s="38">
        <f t="shared" si="5"/>
        <v>1</v>
      </c>
      <c r="AU15" s="38">
        <f t="shared" si="6"/>
        <v>1</v>
      </c>
      <c r="AV15" s="38">
        <f t="shared" si="7"/>
        <v>1</v>
      </c>
      <c r="AW15" s="38">
        <f t="shared" si="8"/>
        <v>5</v>
      </c>
      <c r="AX15" s="38">
        <f t="shared" si="9"/>
        <v>7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5</v>
      </c>
      <c r="BC15" s="38">
        <f t="shared" si="11"/>
        <v>0</v>
      </c>
      <c r="BD15" s="38">
        <f t="shared" si="12"/>
        <v>0</v>
      </c>
      <c r="BE15" s="38">
        <f t="shared" si="13"/>
        <v>0</v>
      </c>
      <c r="BF15" s="39">
        <v>10</v>
      </c>
      <c r="BG15" s="45"/>
      <c r="BI15" s="21">
        <v>10</v>
      </c>
      <c r="BJ15" s="83" t="str">
        <f t="shared" si="14"/>
        <v>Coreia do Sul</v>
      </c>
      <c r="BK15" s="84">
        <f t="shared" si="15"/>
        <v>3</v>
      </c>
      <c r="BL15" s="84">
        <f t="shared" si="16"/>
        <v>3</v>
      </c>
      <c r="BM15" s="84">
        <f t="shared" si="17"/>
        <v>1</v>
      </c>
      <c r="BN15" s="84">
        <f t="shared" si="18"/>
        <v>0</v>
      </c>
      <c r="BO15" s="84">
        <f t="shared" si="19"/>
        <v>2</v>
      </c>
      <c r="BP15" s="84">
        <f t="shared" si="20"/>
        <v>2</v>
      </c>
      <c r="BQ15" s="84">
        <f t="shared" si="21"/>
        <v>3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</v>
      </c>
      <c r="AQ16" s="50" t="str">
        <f>AF68</f>
        <v>RD Congo</v>
      </c>
      <c r="AR16" s="38">
        <f t="shared" si="26"/>
        <v>4</v>
      </c>
      <c r="AS16" s="38">
        <f t="shared" si="27"/>
        <v>3</v>
      </c>
      <c r="AT16" s="38">
        <f t="shared" si="5"/>
        <v>1</v>
      </c>
      <c r="AU16" s="38">
        <f t="shared" si="6"/>
        <v>1</v>
      </c>
      <c r="AV16" s="38">
        <f t="shared" si="7"/>
        <v>1</v>
      </c>
      <c r="AW16" s="38">
        <f t="shared" si="8"/>
        <v>4</v>
      </c>
      <c r="AX16" s="38">
        <f t="shared" si="9"/>
        <v>3</v>
      </c>
      <c r="AY16" s="38">
        <f t="shared" si="28"/>
        <v>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Escócia</v>
      </c>
      <c r="BK16" s="84">
        <f t="shared" si="15"/>
        <v>3</v>
      </c>
      <c r="BL16" s="84">
        <f t="shared" si="16"/>
        <v>3</v>
      </c>
      <c r="BM16" s="84">
        <f t="shared" si="17"/>
        <v>1</v>
      </c>
      <c r="BN16" s="84">
        <f t="shared" si="18"/>
        <v>0</v>
      </c>
      <c r="BO16" s="84">
        <f t="shared" si="19"/>
        <v>2</v>
      </c>
      <c r="BP16" s="84">
        <f t="shared" si="20"/>
        <v>1</v>
      </c>
      <c r="BQ16" s="84">
        <f t="shared" si="21"/>
        <v>4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4</v>
      </c>
      <c r="AQ17" s="50" t="str">
        <f>AF74</f>
        <v>Gana</v>
      </c>
      <c r="AR17" s="38">
        <f t="shared" si="26"/>
        <v>4</v>
      </c>
      <c r="AS17" s="38">
        <f t="shared" si="27"/>
        <v>3</v>
      </c>
      <c r="AT17" s="38">
        <f t="shared" si="5"/>
        <v>1</v>
      </c>
      <c r="AU17" s="38">
        <f t="shared" si="6"/>
        <v>1</v>
      </c>
      <c r="AV17" s="38">
        <f t="shared" si="7"/>
        <v>1</v>
      </c>
      <c r="AW17" s="38">
        <f t="shared" si="8"/>
        <v>2</v>
      </c>
      <c r="AX17" s="38">
        <f t="shared" si="9"/>
        <v>2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1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Uruguai</v>
      </c>
      <c r="BK17" s="87">
        <f t="shared" si="15"/>
        <v>2</v>
      </c>
      <c r="BL17" s="87">
        <f t="shared" si="16"/>
        <v>3</v>
      </c>
      <c r="BM17" s="87">
        <f t="shared" si="17"/>
        <v>0</v>
      </c>
      <c r="BN17" s="87">
        <f t="shared" si="18"/>
        <v>2</v>
      </c>
      <c r="BO17" s="87">
        <f t="shared" si="19"/>
        <v>1</v>
      </c>
      <c r="BP17" s="87">
        <f t="shared" si="20"/>
        <v>3</v>
      </c>
      <c r="BQ17" s="87">
        <f t="shared" si="21"/>
        <v>4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7</v>
      </c>
      <c r="R18" s="38">
        <f>SUM(S18:U18)</f>
        <v>3</v>
      </c>
      <c r="S18" s="38">
        <f>COUNTIF(J:J,P18)</f>
        <v>2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7</v>
      </c>
      <c r="W18" s="38">
        <f>SUMIF(E:E,P18,H:H)+SUMIF(I:I,P18,F:F)</f>
        <v>1</v>
      </c>
      <c r="X18" s="38">
        <f>V18-W18</f>
        <v>6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7</v>
      </c>
      <c r="AH18" s="84">
        <f>VLOOKUP($AE18,$O$18:$X$21,4,FALSE)</f>
        <v>3</v>
      </c>
      <c r="AI18" s="84">
        <f>VLOOKUP($AE18,$O$18:$X$21,5,FALSE)</f>
        <v>2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7</v>
      </c>
      <c r="AM18" s="84">
        <f>VLOOKUP($AE18,$O$18:$X$21,9,FALSE)</f>
        <v>1</v>
      </c>
      <c r="AN18" s="85">
        <f>VLOOKUP($AE18,$O$18:$X$21,10,FALSE)</f>
        <v>6</v>
      </c>
      <c r="BL18" s="153">
        <f>SUM(BL6:BL17)</f>
        <v>36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7</v>
      </c>
      <c r="R19" s="38">
        <f t="shared" ref="R19:R21" si="34">SUM(S19:U19)</f>
        <v>3</v>
      </c>
      <c r="S19" s="38">
        <f>COUNTIF(J:J,P19)</f>
        <v>2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6</v>
      </c>
      <c r="W19" s="38">
        <f>SUMIF(E:E,P19,H:H)+SUMIF(I:I,P19,F:F)</f>
        <v>3</v>
      </c>
      <c r="X19" s="38">
        <f t="shared" ref="X19:X21" si="35">V19-W19</f>
        <v>3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7</v>
      </c>
      <c r="AH19" s="84">
        <f>VLOOKUP($AE19,$O$18:$X$21,4,FALSE)</f>
        <v>3</v>
      </c>
      <c r="AI19" s="84">
        <f>VLOOKUP($AE19,$O$18:$X$21,5,FALSE)</f>
        <v>2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6</v>
      </c>
      <c r="AM19" s="84">
        <f>VLOOKUP($AE19,$O$18:$X$21,9,FALSE)</f>
        <v>3</v>
      </c>
      <c r="AN19" s="85">
        <f>VLOOKUP($AE19,$O$18:$X$21,10,FALSE)</f>
        <v>3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>
        <v>0</v>
      </c>
      <c r="G20" s="84" t="s">
        <v>22</v>
      </c>
      <c r="H20" s="123">
        <v>3</v>
      </c>
      <c r="I20" s="107" t="str">
        <f>P18</f>
        <v>Brasil</v>
      </c>
      <c r="J20" s="38" t="str">
        <f t="shared" si="0"/>
        <v>Brasil</v>
      </c>
      <c r="K20" s="38" t="str">
        <f t="shared" si="1"/>
        <v/>
      </c>
      <c r="L20" s="38" t="str">
        <f t="shared" si="2"/>
        <v/>
      </c>
      <c r="M20" s="39" t="str">
        <f t="shared" si="3"/>
        <v>Escócia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3</v>
      </c>
      <c r="S20" s="38">
        <f>COUNTIF(J:J,P20)</f>
        <v>0</v>
      </c>
      <c r="T20" s="38">
        <f>COUNTIF(K:K,P20)+COUNTIF(L:L,P20)</f>
        <v>0</v>
      </c>
      <c r="U20" s="38">
        <f>COUNTIF(M:M,P20)</f>
        <v>3</v>
      </c>
      <c r="V20" s="38">
        <f>SUMIF(E:E,P20,F:F)+SUMIF(I:I,P20,H:H)</f>
        <v>2</v>
      </c>
      <c r="W20" s="38">
        <f>SUMIF(E:E,P20,H:H)+SUMIF(I:I,P20,F:F)</f>
        <v>8</v>
      </c>
      <c r="X20" s="38">
        <f t="shared" si="35"/>
        <v>-6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3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2</v>
      </c>
      <c r="AL20" s="84">
        <f>VLOOKUP($AE20,$O$18:$X$21,8,FALSE)</f>
        <v>1</v>
      </c>
      <c r="AM20" s="84">
        <f>VLOOKUP($AE20,$O$18:$X$21,9,FALSE)</f>
        <v>4</v>
      </c>
      <c r="AN20" s="85">
        <f>VLOOKUP($AE20,$O$18:$X$21,10,FALSE)</f>
        <v>-3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>
        <v>4</v>
      </c>
      <c r="G21" s="87" t="s">
        <v>22</v>
      </c>
      <c r="H21" s="124">
        <v>2</v>
      </c>
      <c r="I21" s="109" t="str">
        <f>P20</f>
        <v>Haiti</v>
      </c>
      <c r="J21" s="53" t="str">
        <f t="shared" si="0"/>
        <v>Marrocos</v>
      </c>
      <c r="K21" s="53" t="str">
        <f t="shared" si="1"/>
        <v/>
      </c>
      <c r="L21" s="53" t="str">
        <f t="shared" si="2"/>
        <v/>
      </c>
      <c r="M21" s="54" t="str">
        <f t="shared" si="3"/>
        <v>Haiti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3</v>
      </c>
      <c r="S21" s="38">
        <f>COUNTIF(J:J,P21)</f>
        <v>1</v>
      </c>
      <c r="T21" s="38">
        <f>COUNTIF(K:K,P21)+COUNTIF(L:L,P21)</f>
        <v>0</v>
      </c>
      <c r="U21" s="38">
        <f>COUNTIF(M:M,P21)</f>
        <v>2</v>
      </c>
      <c r="V21" s="53">
        <f>SUMIF(E:E,P21,F:F)+SUMIF(I:I,P21,H:H)</f>
        <v>1</v>
      </c>
      <c r="W21" s="53">
        <f>SUMIF(E:E,P21,H:H)+SUMIF(I:I,P21,F:F)</f>
        <v>4</v>
      </c>
      <c r="X21" s="53">
        <f t="shared" si="35"/>
        <v>-3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3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3</v>
      </c>
      <c r="AL21" s="87">
        <f>VLOOKUP($AE21,$O$18:$X$21,8,FALSE)</f>
        <v>2</v>
      </c>
      <c r="AM21" s="87">
        <f>VLOOKUP($AE21,$O$18:$X$21,9,FALSE)</f>
        <v>8</v>
      </c>
      <c r="AN21" s="88">
        <f>VLOOKUP($AE21,$O$18:$X$21,10,FALSE)</f>
        <v>-6</v>
      </c>
      <c r="AP21" s="15">
        <v>1</v>
      </c>
      <c r="AQ21" s="15" t="str">
        <f t="shared" ref="AQ21:AQ28" si="36">VLOOKUP($BI6,$AP$6:$AZ$17,11,FALSE)</f>
        <v>K</v>
      </c>
      <c r="AR21" s="15">
        <f>CODE(AQ21)</f>
        <v>75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F</v>
      </c>
      <c r="AR22" s="15">
        <f t="shared" ref="AR22:AR28" si="37">CODE(AQ22)</f>
        <v>70</v>
      </c>
      <c r="BJ22" s="192" t="s">
        <v>211</v>
      </c>
      <c r="BK22" s="193"/>
      <c r="BL22" s="193"/>
      <c r="BM22" s="194"/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E</v>
      </c>
      <c r="AR23" s="15">
        <f t="shared" si="37"/>
        <v>69</v>
      </c>
      <c r="BJ23" s="182"/>
      <c r="BK23" s="181"/>
      <c r="BL23" s="181"/>
      <c r="BM23" s="183"/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3</v>
      </c>
      <c r="S24" s="38">
        <f>COUNTIF(J:J,P24)</f>
        <v>2</v>
      </c>
      <c r="T24" s="38">
        <f>COUNTIF(K:K,P24)+COUNTIF(L:L,P24)</f>
        <v>0</v>
      </c>
      <c r="U24" s="38">
        <f>COUNTIF(M:M,P24)</f>
        <v>1</v>
      </c>
      <c r="V24" s="38">
        <f>SUMIF(E:E,P24,F:F)+SUMIF(I:I,P24,H:H)</f>
        <v>8</v>
      </c>
      <c r="W24" s="38">
        <f>SUMIF(E:E,P24,H:H)+SUMIF(I:I,P24,F:F)</f>
        <v>4</v>
      </c>
      <c r="X24" s="38">
        <f>V24-W24</f>
        <v>4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3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1</v>
      </c>
      <c r="AL24" s="84">
        <f>VLOOKUP($AE24,$O$24:$X$27,8,FALSE)</f>
        <v>8</v>
      </c>
      <c r="AM24" s="84">
        <f>VLOOKUP($AE24,$O$24:$X$27,9,FALSE)</f>
        <v>4</v>
      </c>
      <c r="AN24" s="85">
        <f>VLOOKUP($AE24,$O$24:$X$27,10,FALSE)</f>
        <v>4</v>
      </c>
      <c r="AP24" s="15">
        <v>4</v>
      </c>
      <c r="AQ24" s="15" t="str">
        <f t="shared" si="36"/>
        <v>L</v>
      </c>
      <c r="AR24" s="15">
        <f t="shared" si="37"/>
        <v>76</v>
      </c>
      <c r="BJ24" s="182"/>
      <c r="BK24" s="181"/>
      <c r="BL24" s="181"/>
      <c r="BM24" s="184"/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4</v>
      </c>
      <c r="R25" s="38">
        <f t="shared" ref="R25:R27" si="39">SUM(S25:U25)</f>
        <v>3</v>
      </c>
      <c r="S25" s="38">
        <f>COUNTIF(J:J,P25)</f>
        <v>1</v>
      </c>
      <c r="T25" s="38">
        <f>COUNTIF(K:K,P25)+COUNTIF(L:L,P25)</f>
        <v>1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4</v>
      </c>
      <c r="AH25" s="84">
        <f>VLOOKUP($AE25,$O$24:$X$27,4,FALSE)</f>
        <v>3</v>
      </c>
      <c r="AI25" s="84">
        <f>VLOOKUP($AE25,$O$24:$X$27,5,FALSE)</f>
        <v>1</v>
      </c>
      <c r="AJ25" s="84">
        <f>VLOOKUP($AE25,$O$24:$X$27,6,FALSE)</f>
        <v>1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B</v>
      </c>
      <c r="AR25" s="15">
        <f t="shared" si="37"/>
        <v>66</v>
      </c>
      <c r="BJ25" s="182"/>
      <c r="BK25" s="181"/>
      <c r="BL25" s="181"/>
      <c r="BM25" s="184"/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>
        <v>3</v>
      </c>
      <c r="G26" s="84" t="s">
        <v>22</v>
      </c>
      <c r="H26" s="123">
        <v>2</v>
      </c>
      <c r="I26" s="113" t="str">
        <f>P24</f>
        <v>Estados Unidos</v>
      </c>
      <c r="J26" s="38" t="str">
        <f t="shared" si="0"/>
        <v>Turquia</v>
      </c>
      <c r="K26" s="38" t="str">
        <f t="shared" si="1"/>
        <v/>
      </c>
      <c r="L26" s="38" t="str">
        <f t="shared" si="2"/>
        <v/>
      </c>
      <c r="M26" s="39" t="str">
        <f t="shared" si="3"/>
        <v>Estados Unidos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4</v>
      </c>
      <c r="R26" s="38">
        <f t="shared" si="39"/>
        <v>3</v>
      </c>
      <c r="S26" s="38">
        <f>COUNTIF(J:J,P26)</f>
        <v>1</v>
      </c>
      <c r="T26" s="38">
        <f>COUNTIF(K:K,P26)+COUNTIF(L:L,P26)</f>
        <v>1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4</v>
      </c>
      <c r="AH26" s="84">
        <f>VLOOKUP($AE26,$O$24:$X$27,4,FALSE)</f>
        <v>3</v>
      </c>
      <c r="AI26" s="84">
        <f>VLOOKUP($AE26,$O$24:$X$27,5,FALSE)</f>
        <v>1</v>
      </c>
      <c r="AJ26" s="84">
        <f>VLOOKUP($AE26,$O$24:$X$27,6,FALSE)</f>
        <v>1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J</v>
      </c>
      <c r="AR26" s="15">
        <f t="shared" si="37"/>
        <v>74</v>
      </c>
      <c r="BJ26" s="185"/>
      <c r="BK26" s="186"/>
      <c r="BL26" s="186"/>
      <c r="BM26" s="187"/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>
        <v>0</v>
      </c>
      <c r="G27" s="87" t="s">
        <v>22</v>
      </c>
      <c r="H27" s="124">
        <v>0</v>
      </c>
      <c r="I27" s="114" t="str">
        <f>P26</f>
        <v>Austrália</v>
      </c>
      <c r="J27" s="53" t="str">
        <f t="shared" si="0"/>
        <v>empate</v>
      </c>
      <c r="K27" s="53" t="str">
        <f t="shared" si="1"/>
        <v>Paraguai</v>
      </c>
      <c r="L27" s="53" t="str">
        <f t="shared" si="2"/>
        <v>Austrália</v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3</v>
      </c>
      <c r="R27" s="53">
        <f t="shared" si="39"/>
        <v>3</v>
      </c>
      <c r="S27" s="38">
        <f>COUNTIF(J:J,P27)</f>
        <v>1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3</v>
      </c>
      <c r="W27" s="53">
        <f>SUMIF(E:E,P27,H:H)+SUMIF(I:I,P27,F:F)</f>
        <v>5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3</v>
      </c>
      <c r="AH27" s="87">
        <f>VLOOKUP($AE27,$O$24:$X$27,4,FALSE)</f>
        <v>3</v>
      </c>
      <c r="AI27" s="87">
        <f>VLOOKUP($AE27,$O$24:$X$27,5,FALSE)</f>
        <v>1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3</v>
      </c>
      <c r="AM27" s="87">
        <f>VLOOKUP($AE27,$O$24:$X$27,9,FALSE)</f>
        <v>5</v>
      </c>
      <c r="AN27" s="88">
        <f>VLOOKUP($AE27,$O$24:$X$27,10,FALSE)</f>
        <v>-2</v>
      </c>
      <c r="AP27" s="15">
        <v>7</v>
      </c>
      <c r="AQ27" s="15" t="str">
        <f t="shared" si="36"/>
        <v>D</v>
      </c>
      <c r="AR27" s="15">
        <f t="shared" si="37"/>
        <v>68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3</v>
      </c>
      <c r="S30" s="38">
        <f>COUNTIF(J:J,P30)</f>
        <v>2</v>
      </c>
      <c r="T30" s="38">
        <f>COUNTIF(K:K,P30)+COUNTIF(L:L,P30)</f>
        <v>0</v>
      </c>
      <c r="U30" s="38">
        <f>COUNTIF(M:M,P30)</f>
        <v>1</v>
      </c>
      <c r="V30" s="38">
        <f>SUMIF(E:E,P30,F:F)+SUMIF(I:I,P30,H:H)</f>
        <v>10</v>
      </c>
      <c r="W30" s="38">
        <f>SUMIF(E:E,P30,H:H)+SUMIF(I:I,P30,F:F)</f>
        <v>4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3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1</v>
      </c>
      <c r="AL30" s="84">
        <f>VLOOKUP($AE30,$O$30:$X$33,8,FALSE)</f>
        <v>10</v>
      </c>
      <c r="AM30" s="84">
        <f>VLOOKUP($AE30,$O$30:$X$33,9,FALSE)</f>
        <v>4</v>
      </c>
      <c r="AN30" s="85">
        <f>VLOOKUP($AE30,$O$30:$X$33,10,FALSE)</f>
        <v>6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Bósnia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3</v>
      </c>
      <c r="S31" s="38">
        <f>COUNTIF(J:J,P31)</f>
        <v>0</v>
      </c>
      <c r="T31" s="38">
        <f>COUNTIF(K:K,P31)+COUNTIF(L:L,P31)</f>
        <v>1</v>
      </c>
      <c r="U31" s="38">
        <f>COUNTIF(M:M,P31)</f>
        <v>2</v>
      </c>
      <c r="V31" s="38">
        <f>SUMIF(E:E,P31,F:F)+SUMIF(I:I,P31,H:H)</f>
        <v>1</v>
      </c>
      <c r="W31" s="38">
        <f>SUMIF(E:E,P31,H:H)+SUMIF(I:I,P31,F:F)</f>
        <v>9</v>
      </c>
      <c r="X31" s="38">
        <f t="shared" ref="X31:X33" si="44">V31-W31</f>
        <v>-8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6</v>
      </c>
      <c r="AH31" s="84">
        <f>VLOOKUP($AE31,$O$30:$X$33,4,FALSE)</f>
        <v>3</v>
      </c>
      <c r="AI31" s="84">
        <f>VLOOKUP($AE31,$O$30:$X$33,5,FALSE)</f>
        <v>2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4</v>
      </c>
      <c r="AM31" s="84">
        <f>VLOOKUP($AE31,$O$30:$X$33,9,FALSE)</f>
        <v>2</v>
      </c>
      <c r="AN31" s="85">
        <f>VLOOKUP($AE31,$O$30:$X$33,10,FALSE)</f>
        <v>2</v>
      </c>
      <c r="AQ31" s="15" t="str">
        <f>CHAR(SMALL($AR$21:$AR$28,2))</f>
        <v>D</v>
      </c>
      <c r="AR31" s="15" t="str">
        <f t="shared" ref="AR31:AR37" si="45">_xlfn.CONCAT(3,AQ31)</f>
        <v>3D</v>
      </c>
      <c r="AS31" s="15" t="str">
        <f t="shared" si="41"/>
        <v>Paraguai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>
        <v>2</v>
      </c>
      <c r="G32" s="84" t="s">
        <v>22</v>
      </c>
      <c r="H32" s="123">
        <v>1</v>
      </c>
      <c r="I32" s="107" t="str">
        <f>P30</f>
        <v>Alemanha</v>
      </c>
      <c r="J32" s="38" t="str">
        <f t="shared" si="0"/>
        <v>Equador</v>
      </c>
      <c r="K32" s="38" t="str">
        <f t="shared" si="1"/>
        <v/>
      </c>
      <c r="L32" s="38" t="str">
        <f t="shared" si="2"/>
        <v/>
      </c>
      <c r="M32" s="39" t="str">
        <f t="shared" si="3"/>
        <v>Alemanha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6</v>
      </c>
      <c r="R32" s="38">
        <f t="shared" si="43"/>
        <v>3</v>
      </c>
      <c r="S32" s="38">
        <f>COUNTIF(J:J,P32)</f>
        <v>2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4</v>
      </c>
      <c r="W32" s="38">
        <f>SUMIF(E:E,P32,H:H)+SUMIF(I:I,P32,F:F)</f>
        <v>2</v>
      </c>
      <c r="X32" s="38">
        <f t="shared" si="44"/>
        <v>2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4</v>
      </c>
      <c r="AH32" s="84">
        <f>VLOOKUP($AE32,$O$30:$X$33,4,FALSE)</f>
        <v>3</v>
      </c>
      <c r="AI32" s="84">
        <f>VLOOKUP($AE32,$O$30:$X$33,5,FALSE)</f>
        <v>1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2</v>
      </c>
      <c r="AM32" s="84">
        <f>VLOOKUP($AE32,$O$30:$X$33,9,FALSE)</f>
        <v>2</v>
      </c>
      <c r="AN32" s="85">
        <f>VLOOKUP($AE32,$O$30:$X$33,10,FALSE)</f>
        <v>0</v>
      </c>
      <c r="AQ32" s="15" t="str">
        <f>CHAR(SMALL($AR$21:$AR$28,3))</f>
        <v>E</v>
      </c>
      <c r="AR32" s="15" t="str">
        <f t="shared" si="45"/>
        <v>3E</v>
      </c>
      <c r="AS32" s="15" t="str">
        <f t="shared" si="41"/>
        <v>Equador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>
        <v>0</v>
      </c>
      <c r="G33" s="87" t="s">
        <v>22</v>
      </c>
      <c r="H33" s="124">
        <v>2</v>
      </c>
      <c r="I33" s="109" t="str">
        <f>P32</f>
        <v>Costa do Marfim</v>
      </c>
      <c r="J33" s="53" t="str">
        <f t="shared" si="0"/>
        <v>Costa do Marfim</v>
      </c>
      <c r="K33" s="53" t="str">
        <f t="shared" si="1"/>
        <v/>
      </c>
      <c r="L33" s="53" t="str">
        <f t="shared" si="2"/>
        <v/>
      </c>
      <c r="M33" s="54" t="str">
        <f t="shared" si="3"/>
        <v>Curaçau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4</v>
      </c>
      <c r="R33" s="53">
        <f t="shared" si="43"/>
        <v>3</v>
      </c>
      <c r="S33" s="38">
        <f>COUNTIF(J:J,P33)</f>
        <v>1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2</v>
      </c>
      <c r="W33" s="53">
        <f>SUMIF(E:E,P33,H:H)+SUMIF(I:I,P33,F:F)</f>
        <v>2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3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2</v>
      </c>
      <c r="AL33" s="87">
        <f>VLOOKUP($AE33,$O$30:$X$33,8,FALSE)</f>
        <v>1</v>
      </c>
      <c r="AM33" s="87">
        <f>VLOOKUP($AE33,$O$30:$X$33,9,FALSE)</f>
        <v>9</v>
      </c>
      <c r="AN33" s="88">
        <f>VLOOKUP($AE33,$O$30:$X$33,10,FALSE)</f>
        <v>-8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I</v>
      </c>
      <c r="AR34" s="15" t="str">
        <f t="shared" si="45"/>
        <v>3I</v>
      </c>
      <c r="AS34" s="15" t="str">
        <f t="shared" si="41"/>
        <v>Senegal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J</v>
      </c>
      <c r="AR35" s="15" t="str">
        <f t="shared" si="45"/>
        <v>3J</v>
      </c>
      <c r="AS35" s="15" t="str">
        <f t="shared" si="41"/>
        <v>Argélia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7</v>
      </c>
      <c r="R36" s="38">
        <f>SUM(S36:U36)</f>
        <v>3</v>
      </c>
      <c r="S36" s="38">
        <f>COUNTIF(J:J,P36)</f>
        <v>2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10</v>
      </c>
      <c r="W36" s="38">
        <f>SUMIF(E:E,P36,H:H)+SUMIF(I:I,P36,F:F)</f>
        <v>4</v>
      </c>
      <c r="X36" s="38">
        <f>V36-W36</f>
        <v>6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7</v>
      </c>
      <c r="AH36" s="84">
        <f>VLOOKUP($AE36,$O$36:$X$39,4,FALSE)</f>
        <v>3</v>
      </c>
      <c r="AI36" s="84">
        <f>VLOOKUP($AE36,$O$36:$X$39,5,FALSE)</f>
        <v>2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10</v>
      </c>
      <c r="AM36" s="84">
        <f>VLOOKUP($AE36,$O$36:$X$39,9,FALSE)</f>
        <v>4</v>
      </c>
      <c r="AN36" s="85">
        <f>VLOOKUP($AE36,$O$36:$X$39,10,FALSE)</f>
        <v>6</v>
      </c>
      <c r="AQ36" s="15" t="str">
        <f>CHAR(SMALL($AR$21:$AR$28,7))</f>
        <v>K</v>
      </c>
      <c r="AR36" s="15" t="str">
        <f t="shared" si="45"/>
        <v>3K</v>
      </c>
      <c r="AS36" s="15" t="str">
        <f t="shared" si="41"/>
        <v>RD Congo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5</v>
      </c>
      <c r="R37" s="38">
        <f t="shared" ref="R37:R39" si="51">SUM(S37:U37)</f>
        <v>3</v>
      </c>
      <c r="S37" s="38">
        <f>COUNTIF(J:J,P37)</f>
        <v>1</v>
      </c>
      <c r="T37" s="38">
        <f>COUNTIF(K:K,P37)+COUNTIF(L:L,P37)</f>
        <v>2</v>
      </c>
      <c r="U37" s="38">
        <f>COUNTIF(M:M,P37)</f>
        <v>0</v>
      </c>
      <c r="V37" s="38">
        <f>SUMIF(E:E,P37,F:F)+SUMIF(I:I,P37,H:H)</f>
        <v>7</v>
      </c>
      <c r="W37" s="38">
        <f>SUMIF(E:E,P37,H:H)+SUMIF(I:I,P37,F:F)</f>
        <v>3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5</v>
      </c>
      <c r="AH37" s="84">
        <f>VLOOKUP($AE37,$O$36:$X$39,4,FALSE)</f>
        <v>3</v>
      </c>
      <c r="AI37" s="84">
        <f>VLOOKUP($AE37,$O$36:$X$39,5,FALSE)</f>
        <v>1</v>
      </c>
      <c r="AJ37" s="84">
        <f>VLOOKUP($AE37,$O$36:$X$39,6,FALSE)</f>
        <v>2</v>
      </c>
      <c r="AK37" s="84">
        <f>VLOOKUP($AE37,$O$36:$X$39,7,FALSE)</f>
        <v>0</v>
      </c>
      <c r="AL37" s="84">
        <f>VLOOKUP($AE37,$O$36:$X$39,8,FALSE)</f>
        <v>7</v>
      </c>
      <c r="AM37" s="84">
        <f>VLOOKUP($AE37,$O$36:$X$39,9,FALSE)</f>
        <v>3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Gana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>
        <v>1</v>
      </c>
      <c r="G38" s="84" t="s">
        <v>22</v>
      </c>
      <c r="H38" s="123">
        <v>3</v>
      </c>
      <c r="I38" s="113" t="str">
        <f>P36</f>
        <v>Países Baixos</v>
      </c>
      <c r="J38" s="38" t="str">
        <f t="shared" si="46"/>
        <v>Países Baixos</v>
      </c>
      <c r="K38" s="38" t="str">
        <f t="shared" si="47"/>
        <v/>
      </c>
      <c r="L38" s="38" t="str">
        <f t="shared" si="48"/>
        <v/>
      </c>
      <c r="M38" s="39" t="str">
        <f t="shared" si="49"/>
        <v>Tunísia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4</v>
      </c>
      <c r="R38" s="38">
        <f t="shared" si="51"/>
        <v>3</v>
      </c>
      <c r="S38" s="38">
        <f>COUNTIF(J:J,P38)</f>
        <v>1</v>
      </c>
      <c r="T38" s="38">
        <f>COUNTIF(K:K,P38)+COUNTIF(L:L,P38)</f>
        <v>1</v>
      </c>
      <c r="U38" s="38">
        <f>COUNTIF(M:M,P38)</f>
        <v>1</v>
      </c>
      <c r="V38" s="38">
        <f>SUMIF(E:E,P38,F:F)+SUMIF(I:I,P38,H:H)</f>
        <v>7</v>
      </c>
      <c r="W38" s="38">
        <f>SUMIF(E:E,P38,H:H)+SUMIF(I:I,P38,F:F)</f>
        <v>7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4</v>
      </c>
      <c r="AH38" s="84">
        <f>VLOOKUP($AE38,$O$36:$X$39,4,FALSE)</f>
        <v>3</v>
      </c>
      <c r="AI38" s="84">
        <f>VLOOKUP($AE38,$O$36:$X$39,5,FALSE)</f>
        <v>1</v>
      </c>
      <c r="AJ38" s="84">
        <f>VLOOKUP($AE38,$O$36:$X$39,6,FALSE)</f>
        <v>1</v>
      </c>
      <c r="AK38" s="84">
        <f>VLOOKUP($AE38,$O$36:$X$39,7,FALSE)</f>
        <v>1</v>
      </c>
      <c r="AL38" s="84">
        <f>VLOOKUP($AE38,$O$36:$X$39,8,FALSE)</f>
        <v>7</v>
      </c>
      <c r="AM38" s="84">
        <f>VLOOKUP($AE38,$O$36:$X$39,9,FALSE)</f>
        <v>7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>
        <v>1</v>
      </c>
      <c r="G39" s="87" t="s">
        <v>22</v>
      </c>
      <c r="H39" s="124">
        <v>1</v>
      </c>
      <c r="I39" s="114" t="str">
        <f>P38</f>
        <v>Suécia</v>
      </c>
      <c r="J39" s="53" t="str">
        <f t="shared" si="46"/>
        <v>empate</v>
      </c>
      <c r="K39" s="53" t="str">
        <f t="shared" si="47"/>
        <v>Japão</v>
      </c>
      <c r="L39" s="53" t="str">
        <f t="shared" si="48"/>
        <v>Suécia</v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3</v>
      </c>
      <c r="S39" s="38">
        <f>COUNTIF(J:J,P39)</f>
        <v>0</v>
      </c>
      <c r="T39" s="38">
        <f>COUNTIF(K:K,P39)+COUNTIF(L:L,P39)</f>
        <v>0</v>
      </c>
      <c r="U39" s="38">
        <f>COUNTIF(M:M,P39)</f>
        <v>3</v>
      </c>
      <c r="V39" s="53">
        <f>SUMIF(E:E,P39,F:F)+SUMIF(I:I,P39,H:H)</f>
        <v>2</v>
      </c>
      <c r="W39" s="53">
        <f>SUMIF(E:E,P39,H:H)+SUMIF(I:I,P39,F:F)</f>
        <v>12</v>
      </c>
      <c r="X39" s="53">
        <f t="shared" si="52"/>
        <v>-10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3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3</v>
      </c>
      <c r="AL39" s="87">
        <f>VLOOKUP($AE39,$O$36:$X$39,8,FALSE)</f>
        <v>2</v>
      </c>
      <c r="AM39" s="87">
        <f>VLOOKUP($AE39,$O$36:$X$39,9,FALSE)</f>
        <v>12</v>
      </c>
      <c r="AN39" s="88">
        <f>VLOOKUP($AE39,$O$36:$X$39,10,FALSE)</f>
        <v>-10</v>
      </c>
      <c r="AQ39" s="15" t="str">
        <f>_xlfn.CONCAT(AQ30:AQ37)</f>
        <v>BDEFIJKL</v>
      </c>
      <c r="AR39" s="15" t="str">
        <f>VLOOKUP(AQ39,Dummy!O:X,10,FALSE)</f>
        <v>3E3J3B3D3I3F3L3K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5</v>
      </c>
      <c r="R42" s="38">
        <f>SUM(S42:U42)</f>
        <v>3</v>
      </c>
      <c r="S42" s="38">
        <f>COUNTIF(J:J,P42)</f>
        <v>1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6</v>
      </c>
      <c r="W42" s="38">
        <f>SUMIF(E:E,P42,H:H)+SUMIF(I:I,P42,F:F)</f>
        <v>2</v>
      </c>
      <c r="X42" s="38">
        <f>V42-W42</f>
        <v>4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5</v>
      </c>
      <c r="AH42" s="84">
        <f>VLOOKUP($AE42,$O$42:$X$45,4,FALSE)</f>
        <v>3</v>
      </c>
      <c r="AI42" s="84">
        <f>VLOOKUP($AE42,$O$42:$X$45,5,FALSE)</f>
        <v>1</v>
      </c>
      <c r="AJ42" s="84">
        <f>VLOOKUP($AE42,$O$42:$X$45,6,FALSE)</f>
        <v>2</v>
      </c>
      <c r="AK42" s="84">
        <f>VLOOKUP($AE42,$O$42:$X$45,7,FALSE)</f>
        <v>0</v>
      </c>
      <c r="AL42" s="84">
        <f>VLOOKUP($AE42,$O$42:$X$45,8,FALSE)</f>
        <v>6</v>
      </c>
      <c r="AM42" s="84">
        <f>VLOOKUP($AE42,$O$42:$X$45,9,FALSE)</f>
        <v>2</v>
      </c>
      <c r="AN42" s="85">
        <f>VLOOKUP($AE42,$O$42:$X$45,10,FALSE)</f>
        <v>4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5</v>
      </c>
      <c r="R43" s="38">
        <f t="shared" ref="R43:R45" si="54">SUM(S43:U43)</f>
        <v>3</v>
      </c>
      <c r="S43" s="38">
        <f>COUNTIF(J:J,P43)</f>
        <v>1</v>
      </c>
      <c r="T43" s="38">
        <f>COUNTIF(K:K,P43)+COUNTIF(L:L,P43)</f>
        <v>2</v>
      </c>
      <c r="U43" s="38">
        <f>COUNTIF(M:M,P43)</f>
        <v>0</v>
      </c>
      <c r="V43" s="38">
        <f>SUMIF(E:E,P43,F:F)+SUMIF(I:I,P43,H:H)</f>
        <v>5</v>
      </c>
      <c r="W43" s="38">
        <f>SUMIF(E:E,P43,H:H)+SUMIF(I:I,P43,F:F)</f>
        <v>3</v>
      </c>
      <c r="X43" s="38">
        <f t="shared" ref="X43:X45" si="55">V43-W43</f>
        <v>2</v>
      </c>
      <c r="Y43" s="38">
        <f>SUMPRODUCT(($Q$42:$Q$45=Q43)*($X$42:$X$45&gt;X43))</f>
        <v>1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5</v>
      </c>
      <c r="AH43" s="84">
        <f>VLOOKUP($AE43,$O$42:$X$45,4,FALSE)</f>
        <v>3</v>
      </c>
      <c r="AI43" s="84">
        <f>VLOOKUP($AE43,$O$42:$X$45,5,FALSE)</f>
        <v>1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5</v>
      </c>
      <c r="AM43" s="84">
        <f>VLOOKUP($AE43,$O$42:$X$45,9,FALSE)</f>
        <v>3</v>
      </c>
      <c r="AN43" s="85">
        <f>VLOOKUP($AE43,$O$42:$X$45,10,FALSE)</f>
        <v>2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>
        <v>1</v>
      </c>
      <c r="G44" s="84" t="s">
        <v>22</v>
      </c>
      <c r="H44" s="123">
        <v>5</v>
      </c>
      <c r="I44" s="107" t="str">
        <f>P42</f>
        <v>Bélgica</v>
      </c>
      <c r="J44" s="38" t="str">
        <f t="shared" si="46"/>
        <v>Bélgica</v>
      </c>
      <c r="K44" s="38" t="str">
        <f t="shared" si="47"/>
        <v/>
      </c>
      <c r="L44" s="38" t="str">
        <f t="shared" si="48"/>
        <v/>
      </c>
      <c r="M44" s="39" t="str">
        <f t="shared" si="49"/>
        <v>Nova Zelândia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3</v>
      </c>
      <c r="R44" s="38">
        <f t="shared" si="54"/>
        <v>3</v>
      </c>
      <c r="S44" s="38">
        <f>COUNTIF(J:J,P44)</f>
        <v>0</v>
      </c>
      <c r="T44" s="38">
        <f>COUNTIF(K:K,P44)+COUNTIF(L:L,P44)</f>
        <v>3</v>
      </c>
      <c r="U44" s="38">
        <f>COUNTIF(M:M,P44)</f>
        <v>0</v>
      </c>
      <c r="V44" s="38">
        <f>SUMIF(E:E,P44,F:F)+SUMIF(I:I,P44,H:H)</f>
        <v>3</v>
      </c>
      <c r="W44" s="38">
        <f>SUMIF(E:E,P44,H:H)+SUMIF(I:I,P44,F:F)</f>
        <v>3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3</v>
      </c>
      <c r="AH44" s="84">
        <f>VLOOKUP($AE44,$O$42:$X$45,4,FALSE)</f>
        <v>3</v>
      </c>
      <c r="AI44" s="84">
        <f>VLOOKUP($AE44,$O$42:$X$45,5,FALSE)</f>
        <v>0</v>
      </c>
      <c r="AJ44" s="84">
        <f>VLOOKUP($AE44,$O$42:$X$45,6,FALSE)</f>
        <v>3</v>
      </c>
      <c r="AK44" s="84">
        <f>VLOOKUP($AE44,$O$42:$X$45,7,FALSE)</f>
        <v>0</v>
      </c>
      <c r="AL44" s="84">
        <f>VLOOKUP($AE44,$O$42:$X$45,8,FALSE)</f>
        <v>3</v>
      </c>
      <c r="AM44" s="84">
        <f>VLOOKUP($AE44,$O$42:$X$45,9,FALSE)</f>
        <v>3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>
        <v>1</v>
      </c>
      <c r="G45" s="87" t="s">
        <v>22</v>
      </c>
      <c r="H45" s="124">
        <v>1</v>
      </c>
      <c r="I45" s="109" t="str">
        <f>P44</f>
        <v>Irã</v>
      </c>
      <c r="J45" s="53" t="str">
        <f t="shared" si="46"/>
        <v>empate</v>
      </c>
      <c r="K45" s="53" t="str">
        <f t="shared" si="47"/>
        <v>Egito</v>
      </c>
      <c r="L45" s="53" t="str">
        <f t="shared" si="48"/>
        <v>Irã</v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3</v>
      </c>
      <c r="S45" s="38">
        <f>COUNTIF(J:J,P45)</f>
        <v>0</v>
      </c>
      <c r="T45" s="38">
        <f>COUNTIF(K:K,P45)+COUNTIF(L:L,P45)</f>
        <v>1</v>
      </c>
      <c r="U45" s="38">
        <f>COUNTIF(M:M,P45)</f>
        <v>2</v>
      </c>
      <c r="V45" s="53">
        <f>SUMIF(E:E,P45,F:F)+SUMIF(I:I,P45,H:H)</f>
        <v>4</v>
      </c>
      <c r="W45" s="53">
        <f>SUMIF(E:E,P45,H:H)+SUMIF(I:I,P45,F:F)</f>
        <v>10</v>
      </c>
      <c r="X45" s="53">
        <f t="shared" si="55"/>
        <v>-6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3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2</v>
      </c>
      <c r="AL45" s="87">
        <f>VLOOKUP($AE45,$O$42:$X$45,8,FALSE)</f>
        <v>4</v>
      </c>
      <c r="AM45" s="87">
        <f>VLOOKUP($AE45,$O$42:$X$45,9,FALSE)</f>
        <v>10</v>
      </c>
      <c r="AN45" s="88">
        <f>VLOOKUP($AE45,$O$42:$X$45,10,FALSE)</f>
        <v>-6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7</v>
      </c>
      <c r="R48" s="38">
        <f>SUM(S48:U48)</f>
        <v>3</v>
      </c>
      <c r="S48" s="38">
        <f>COUNTIF(J:J,P48)</f>
        <v>2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5</v>
      </c>
      <c r="W48" s="38">
        <f>SUMIF(E:E,P48,H:H)+SUMIF(I:I,P48,F:F)</f>
        <v>0</v>
      </c>
      <c r="X48" s="38">
        <f>V48-W48</f>
        <v>5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7</v>
      </c>
      <c r="AH48" s="84">
        <f>VLOOKUP($AE48,$O$48:$X$51,4,FALSE)</f>
        <v>3</v>
      </c>
      <c r="AI48" s="84">
        <f>VLOOKUP($AE48,$O$48:$X$51,5,FALSE)</f>
        <v>2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5</v>
      </c>
      <c r="AM48" s="84">
        <f>VLOOKUP($AE48,$O$48:$X$51,9,FALSE)</f>
        <v>0</v>
      </c>
      <c r="AN48" s="85">
        <f>VLOOKUP($AE48,$O$48:$X$51,10,FALSE)</f>
        <v>5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3</v>
      </c>
      <c r="R49" s="38">
        <f t="shared" ref="R49:R51" si="57">SUM(S49:U49)</f>
        <v>3</v>
      </c>
      <c r="S49" s="38">
        <f>COUNTIF(J:J,P49)</f>
        <v>0</v>
      </c>
      <c r="T49" s="38">
        <f>COUNTIF(K:K,P49)+COUNTIF(L:L,P49)</f>
        <v>3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3</v>
      </c>
      <c r="AH49" s="84">
        <f>VLOOKUP($AE49,$O$48:$X$51,4,FALSE)</f>
        <v>3</v>
      </c>
      <c r="AI49" s="84">
        <f>VLOOKUP($AE49,$O$48:$X$51,5,FALSE)</f>
        <v>0</v>
      </c>
      <c r="AJ49" s="84">
        <f>VLOOKUP($AE49,$O$48:$X$51,6,FALSE)</f>
        <v>3</v>
      </c>
      <c r="AK49" s="84">
        <f>VLOOKUP($AE49,$O$48:$X$51,7,FALSE)</f>
        <v>0</v>
      </c>
      <c r="AL49" s="84">
        <f>VLOOKUP($AE49,$O$48:$X$51,8,FALSE)</f>
        <v>2</v>
      </c>
      <c r="AM49" s="84">
        <f>VLOOKUP($AE49,$O$48:$X$51,9,FALSE)</f>
        <v>2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>
        <v>0</v>
      </c>
      <c r="G50" s="84" t="s">
        <v>22</v>
      </c>
      <c r="H50" s="123">
        <v>1</v>
      </c>
      <c r="I50" s="113" t="str">
        <f>P48</f>
        <v>Espanha</v>
      </c>
      <c r="J50" s="38" t="str">
        <f t="shared" si="46"/>
        <v>Espanha</v>
      </c>
      <c r="K50" s="38" t="str">
        <f t="shared" si="47"/>
        <v/>
      </c>
      <c r="L50" s="38" t="str">
        <f t="shared" si="48"/>
        <v/>
      </c>
      <c r="M50" s="39" t="str">
        <f t="shared" si="49"/>
        <v>Uruguai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2</v>
      </c>
      <c r="R50" s="38">
        <f t="shared" si="57"/>
        <v>3</v>
      </c>
      <c r="S50" s="38">
        <f>COUNTIF(J:J,P50)</f>
        <v>0</v>
      </c>
      <c r="T50" s="38">
        <f>COUNTIF(K:K,P50)+COUNTIF(L:L,P50)</f>
        <v>2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1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Uruguai</v>
      </c>
      <c r="AG50" s="84">
        <f>VLOOKUP($AE50,$O$48:$X$51,3,FALSE)</f>
        <v>2</v>
      </c>
      <c r="AH50" s="84">
        <f>VLOOKUP($AE50,$O$48:$X$51,4,FALSE)</f>
        <v>3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1</v>
      </c>
      <c r="AL50" s="84">
        <f>VLOOKUP($AE50,$O$48:$X$51,8,FALSE)</f>
        <v>3</v>
      </c>
      <c r="AM50" s="84">
        <f>VLOOKUP($AE50,$O$48:$X$51,9,FALSE)</f>
        <v>4</v>
      </c>
      <c r="AN50" s="85">
        <f>VLOOKUP($AE50,$O$48:$X$51,10,FALSE)</f>
        <v>-1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>
        <v>0</v>
      </c>
      <c r="G51" s="118" t="s">
        <v>22</v>
      </c>
      <c r="H51" s="126">
        <v>0</v>
      </c>
      <c r="I51" s="119" t="str">
        <f>P50</f>
        <v>Arábia Saudita</v>
      </c>
      <c r="J51" s="66" t="str">
        <f t="shared" si="46"/>
        <v>empate</v>
      </c>
      <c r="K51" s="66" t="str">
        <f t="shared" si="47"/>
        <v>Cabo Verde</v>
      </c>
      <c r="L51" s="66" t="str">
        <f t="shared" si="48"/>
        <v>Arábia Saudita</v>
      </c>
      <c r="M51" s="67" t="str">
        <f t="shared" si="49"/>
        <v>empate</v>
      </c>
      <c r="N51" s="45"/>
      <c r="O51" s="68">
        <f>RANK(Q51,$Q$48:$Q$51)+SUM(Y51:AB51)</f>
        <v>3</v>
      </c>
      <c r="P51" s="49" t="str">
        <f>Sorteios!F25</f>
        <v>Uruguai</v>
      </c>
      <c r="Q51" s="53">
        <f t="shared" si="56"/>
        <v>2</v>
      </c>
      <c r="R51" s="53">
        <f t="shared" si="57"/>
        <v>3</v>
      </c>
      <c r="S51" s="38">
        <f>COUNTIF(J:J,P51)</f>
        <v>0</v>
      </c>
      <c r="T51" s="38">
        <f>COUNTIF(K:K,P51)+COUNTIF(L:L,P51)</f>
        <v>2</v>
      </c>
      <c r="U51" s="38">
        <f>COUNTIF(M:M,P51)</f>
        <v>1</v>
      </c>
      <c r="V51" s="53">
        <f>SUMIF(E:E,P51,F:F)+SUMIF(I:I,P51,H:H)</f>
        <v>3</v>
      </c>
      <c r="W51" s="53">
        <f>SUMIF(E:E,P51,H:H)+SUMIF(I:I,P51,F:F)</f>
        <v>4</v>
      </c>
      <c r="X51" s="53">
        <f t="shared" si="58"/>
        <v>-1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2</v>
      </c>
      <c r="AH51" s="87">
        <f>VLOOKUP($AE51,$O$48:$X$51,4,FALSE)</f>
        <v>3</v>
      </c>
      <c r="AI51" s="87">
        <f>VLOOKUP($AE51,$O$48:$X$51,5,FALSE)</f>
        <v>0</v>
      </c>
      <c r="AJ51" s="87">
        <f>VLOOKUP($AE51,$O$48:$X$51,6,FALSE)</f>
        <v>2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9</v>
      </c>
      <c r="R54" s="38">
        <f>SUM(S54:U54)</f>
        <v>3</v>
      </c>
      <c r="S54" s="38">
        <f>COUNTIF(J:J,P54)</f>
        <v>3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10</v>
      </c>
      <c r="W54" s="38">
        <f>SUMIF(E:E,P54,H:H)+SUMIF(I:I,P54,F:F)</f>
        <v>2</v>
      </c>
      <c r="X54" s="38">
        <f>V54-W54</f>
        <v>8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9</v>
      </c>
      <c r="AH54" s="84">
        <f>VLOOKUP($AE54,$O$54:$X$57,4,FALSE)</f>
        <v>3</v>
      </c>
      <c r="AI54" s="84">
        <f>VLOOKUP($AE54,$O$54:$X$57,5,FALSE)</f>
        <v>3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10</v>
      </c>
      <c r="AM54" s="84">
        <f>VLOOKUP($AE54,$O$54:$X$57,9,FALSE)</f>
        <v>2</v>
      </c>
      <c r="AN54" s="85">
        <f>VLOOKUP($AE54,$O$54:$X$57,10,FALSE)</f>
        <v>8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3</v>
      </c>
      <c r="R55" s="38">
        <f t="shared" ref="R55:R57" si="60">SUM(S55:U55)</f>
        <v>3</v>
      </c>
      <c r="S55" s="38">
        <f>COUNTIF(J:J,P55)</f>
        <v>1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8</v>
      </c>
      <c r="W55" s="38">
        <f>SUMIF(E:E,P55,H:H)+SUMIF(I:I,P55,F:F)</f>
        <v>6</v>
      </c>
      <c r="X55" s="38">
        <f t="shared" ref="X55:X57" si="61">V55-W55</f>
        <v>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3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1</v>
      </c>
      <c r="AL55" s="84">
        <f>VLOOKUP($AE55,$O$54:$X$57,8,FALSE)</f>
        <v>8</v>
      </c>
      <c r="AM55" s="84">
        <f>VLOOKUP($AE55,$O$54:$X$57,9,FALSE)</f>
        <v>7</v>
      </c>
      <c r="AN55" s="85">
        <f>VLOOKUP($AE55,$O$54:$X$57,10,FALSE)</f>
        <v>1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>
        <v>1</v>
      </c>
      <c r="G56" s="84" t="s">
        <v>22</v>
      </c>
      <c r="H56" s="123">
        <v>4</v>
      </c>
      <c r="I56" s="107" t="str">
        <f>P54</f>
        <v>França</v>
      </c>
      <c r="J56" s="38" t="str">
        <f t="shared" si="46"/>
        <v>França</v>
      </c>
      <c r="K56" s="38" t="str">
        <f t="shared" si="47"/>
        <v/>
      </c>
      <c r="L56" s="38" t="str">
        <f t="shared" si="48"/>
        <v/>
      </c>
      <c r="M56" s="39" t="str">
        <f t="shared" si="49"/>
        <v>Noruega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3</v>
      </c>
      <c r="S56" s="38">
        <f>COUNTIF(J:J,P56)</f>
        <v>0</v>
      </c>
      <c r="T56" s="38">
        <f>COUNTIF(K:K,P56)+COUNTIF(L:L,P56)</f>
        <v>0</v>
      </c>
      <c r="U56" s="38">
        <f>COUNTIF(M:M,P56)</f>
        <v>3</v>
      </c>
      <c r="V56" s="38">
        <f>SUMIF(E:E,P56,F:F)+SUMIF(I:I,P56,H:H)</f>
        <v>1</v>
      </c>
      <c r="W56" s="38">
        <f>SUMIF(E:E,P56,H:H)+SUMIF(I:I,P56,F:F)</f>
        <v>12</v>
      </c>
      <c r="X56" s="38">
        <f t="shared" si="61"/>
        <v>-11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3</v>
      </c>
      <c r="AH56" s="84">
        <f>VLOOKUP($AE56,$O$54:$X$57,4,FALSE)</f>
        <v>3</v>
      </c>
      <c r="AI56" s="84">
        <f>VLOOKUP($AE56,$O$54:$X$57,5,FALSE)</f>
        <v>1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8</v>
      </c>
      <c r="AM56" s="84">
        <f>VLOOKUP($AE56,$O$54:$X$57,9,FALSE)</f>
        <v>6</v>
      </c>
      <c r="AN56" s="85">
        <f>VLOOKUP($AE56,$O$54:$X$57,10,FALSE)</f>
        <v>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>
        <v>5</v>
      </c>
      <c r="G57" s="87" t="s">
        <v>22</v>
      </c>
      <c r="H57" s="124">
        <v>0</v>
      </c>
      <c r="I57" s="109" t="str">
        <f>P56</f>
        <v>Iraque</v>
      </c>
      <c r="J57" s="53" t="str">
        <f t="shared" si="46"/>
        <v>Senegal</v>
      </c>
      <c r="K57" s="53" t="str">
        <f t="shared" si="47"/>
        <v/>
      </c>
      <c r="L57" s="53" t="str">
        <f t="shared" si="48"/>
        <v/>
      </c>
      <c r="M57" s="54" t="str">
        <f t="shared" si="49"/>
        <v>Iraque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3</v>
      </c>
      <c r="S57" s="66">
        <f>COUNTIF(J:J,P57)</f>
        <v>2</v>
      </c>
      <c r="T57" s="66">
        <f>COUNTIF(K:K,P57)+COUNTIF(L:L,P57)</f>
        <v>0</v>
      </c>
      <c r="U57" s="66">
        <f>COUNTIF(M:M,P57)</f>
        <v>1</v>
      </c>
      <c r="V57" s="66">
        <f>SUMIF(E:E,P57,F:F)+SUMIF(I:I,P57,H:H)</f>
        <v>8</v>
      </c>
      <c r="W57" s="66">
        <f>SUMIF(E:E,P57,H:H)+SUMIF(I:I,P57,F:F)</f>
        <v>7</v>
      </c>
      <c r="X57" s="66">
        <f t="shared" si="61"/>
        <v>1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3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3</v>
      </c>
      <c r="AL57" s="87">
        <f>VLOOKUP($AE57,$O$54:$X$57,8,FALSE)</f>
        <v>1</v>
      </c>
      <c r="AM57" s="87">
        <f>VLOOKUP($AE57,$O$54:$X$57,9,FALSE)</f>
        <v>12</v>
      </c>
      <c r="AN57" s="88">
        <f>VLOOKUP($AE57,$O$54:$X$57,10,FALSE)</f>
        <v>-11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9</v>
      </c>
      <c r="R60" s="38">
        <f>SUM(S60:U60)</f>
        <v>3</v>
      </c>
      <c r="S60" s="38">
        <f>COUNTIF(J:J,P60)</f>
        <v>3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8</v>
      </c>
      <c r="W60" s="38">
        <f>SUMIF(E:E,P60,H:H)+SUMIF(I:I,P60,F:F)</f>
        <v>1</v>
      </c>
      <c r="X60" s="38">
        <f>V60-W60</f>
        <v>7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9</v>
      </c>
      <c r="AH60" s="84">
        <f>VLOOKUP($AE60,$O$60:$X$63,4,FALSE)</f>
        <v>3</v>
      </c>
      <c r="AI60" s="84">
        <f>VLOOKUP($AE60,$O$60:$X$63,5,FALSE)</f>
        <v>3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8</v>
      </c>
      <c r="AM60" s="84">
        <f>VLOOKUP($AE60,$O$60:$X$63,9,FALSE)</f>
        <v>1</v>
      </c>
      <c r="AN60" s="85">
        <f>VLOOKUP($AE60,$O$60:$X$63,10,FALSE)</f>
        <v>7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4</v>
      </c>
      <c r="R61" s="38">
        <f t="shared" ref="R61:R63" si="63">SUM(S61:U61)</f>
        <v>3</v>
      </c>
      <c r="S61" s="38">
        <f>COUNTIF(J:J,P61)</f>
        <v>1</v>
      </c>
      <c r="T61" s="38">
        <f>COUNTIF(K:K,P61)+COUNTIF(L:L,P61)</f>
        <v>1</v>
      </c>
      <c r="U61" s="38">
        <f>COUNTIF(M:M,P61)</f>
        <v>1</v>
      </c>
      <c r="V61" s="38">
        <f>SUMIF(E:E,P61,F:F)+SUMIF(I:I,P61,H:H)</f>
        <v>5</v>
      </c>
      <c r="W61" s="38">
        <f>SUMIF(E:E,P61,H:H)+SUMIF(I:I,P61,F:F)</f>
        <v>7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4</v>
      </c>
      <c r="AH61" s="84">
        <f>VLOOKUP($AE61,$O$60:$X$63,4,FALSE)</f>
        <v>3</v>
      </c>
      <c r="AI61" s="84">
        <f>VLOOKUP($AE61,$O$60:$X$63,5,FALSE)</f>
        <v>1</v>
      </c>
      <c r="AJ61" s="84">
        <f>VLOOKUP($AE61,$O$60:$X$63,6,FALSE)</f>
        <v>1</v>
      </c>
      <c r="AK61" s="84">
        <f>VLOOKUP($AE61,$O$60:$X$63,7,FALSE)</f>
        <v>1</v>
      </c>
      <c r="AL61" s="84">
        <f>VLOOKUP($AE61,$O$60:$X$63,8,FALSE)</f>
        <v>6</v>
      </c>
      <c r="AM61" s="84">
        <f>VLOOKUP($AE61,$O$60:$X$63,9,FALSE)</f>
        <v>6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>
        <v>1</v>
      </c>
      <c r="G62" s="84" t="s">
        <v>22</v>
      </c>
      <c r="H62" s="123">
        <v>3</v>
      </c>
      <c r="I62" s="113" t="str">
        <f>P60</f>
        <v>Argentina</v>
      </c>
      <c r="J62" s="38" t="str">
        <f t="shared" si="46"/>
        <v>Argentina</v>
      </c>
      <c r="K62" s="38" t="str">
        <f t="shared" si="47"/>
        <v/>
      </c>
      <c r="L62" s="38" t="str">
        <f t="shared" si="48"/>
        <v/>
      </c>
      <c r="M62" s="39" t="str">
        <f t="shared" si="49"/>
        <v>Jordânia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4</v>
      </c>
      <c r="R62" s="38">
        <f>SUM(S62:U62)</f>
        <v>3</v>
      </c>
      <c r="S62" s="38">
        <f>COUNTIF(J:J,P62)</f>
        <v>1</v>
      </c>
      <c r="T62" s="38">
        <f>COUNTIF(K:K,P62)+COUNTIF(L:L,P62)</f>
        <v>1</v>
      </c>
      <c r="U62" s="38">
        <f>COUNTIF(M:M,P62)</f>
        <v>1</v>
      </c>
      <c r="V62" s="38">
        <f>SUMIF(E:E,P62,F:F)+SUMIF(I:I,P62,H:H)</f>
        <v>6</v>
      </c>
      <c r="W62" s="38">
        <f>SUMIF(E:E,P62,H:H)+SUMIF(I:I,P62,F:F)</f>
        <v>6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4</v>
      </c>
      <c r="AH62" s="84">
        <f>VLOOKUP($AE62,$O$60:$X$63,4,FALSE)</f>
        <v>3</v>
      </c>
      <c r="AI62" s="84">
        <f>VLOOKUP($AE62,$O$60:$X$63,5,FALSE)</f>
        <v>1</v>
      </c>
      <c r="AJ62" s="84">
        <f>VLOOKUP($AE62,$O$60:$X$63,6,FALSE)</f>
        <v>1</v>
      </c>
      <c r="AK62" s="84">
        <f>VLOOKUP($AE62,$O$60:$X$63,7,FALSE)</f>
        <v>1</v>
      </c>
      <c r="AL62" s="84">
        <f>VLOOKUP($AE62,$O$60:$X$63,8,FALSE)</f>
        <v>5</v>
      </c>
      <c r="AM62" s="84">
        <f>VLOOKUP($AE62,$O$60:$X$63,9,FALSE)</f>
        <v>7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>
        <v>3</v>
      </c>
      <c r="G63" s="118" t="s">
        <v>22</v>
      </c>
      <c r="H63" s="126">
        <v>3</v>
      </c>
      <c r="I63" s="119" t="str">
        <f>P62</f>
        <v>Áustria</v>
      </c>
      <c r="J63" s="66" t="str">
        <f t="shared" si="46"/>
        <v>empate</v>
      </c>
      <c r="K63" s="66" t="str">
        <f t="shared" si="47"/>
        <v>Argélia</v>
      </c>
      <c r="L63" s="66" t="str">
        <f t="shared" si="48"/>
        <v>Áustria</v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3</v>
      </c>
      <c r="S63" s="38">
        <f>COUNTIF(J:J,P63)</f>
        <v>0</v>
      </c>
      <c r="T63" s="38">
        <f>COUNTIF(K:K,P63)+COUNTIF(L:L,P63)</f>
        <v>0</v>
      </c>
      <c r="U63" s="38">
        <f>COUNTIF(M:M,P63)</f>
        <v>3</v>
      </c>
      <c r="V63" s="53">
        <f>SUMIF(E:E,P63,F:F)+SUMIF(I:I,P63,H:H)</f>
        <v>3</v>
      </c>
      <c r="W63" s="53">
        <f>SUMIF(E:E,P63,H:H)+SUMIF(I:I,P63,F:F)</f>
        <v>8</v>
      </c>
      <c r="X63" s="53">
        <f t="shared" si="64"/>
        <v>-5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3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3</v>
      </c>
      <c r="AL63" s="87">
        <f>VLOOKUP($AE63,$O$60:$X$63,8,FALSE)</f>
        <v>3</v>
      </c>
      <c r="AM63" s="87">
        <f>VLOOKUP($AE63,$O$60:$X$63,9,FALSE)</f>
        <v>8</v>
      </c>
      <c r="AN63" s="88">
        <f>VLOOKUP($AE63,$O$60:$X$63,10,FALSE)</f>
        <v>-5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5</v>
      </c>
      <c r="R66" s="38">
        <f>SUM(S66:U66)</f>
        <v>3</v>
      </c>
      <c r="S66" s="38">
        <f>COUNTIF(J:J,P66)</f>
        <v>1</v>
      </c>
      <c r="T66" s="38">
        <f>COUNTIF(K:K,P66)+COUNTIF(L:L,P66)</f>
        <v>2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7</v>
      </c>
      <c r="AH66" s="84">
        <f>VLOOKUP($AE66,$O$66:$X$69,4,FALSE)</f>
        <v>3</v>
      </c>
      <c r="AI66" s="84">
        <f>VLOOKUP($AE66,$O$66:$X$69,5,FALSE)</f>
        <v>2</v>
      </c>
      <c r="AJ66" s="84">
        <f>VLOOKUP($AE66,$O$66:$X$69,6,FALSE)</f>
        <v>1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4</v>
      </c>
      <c r="R67" s="38">
        <f t="shared" ref="R67:R69" si="66">SUM(S67:U67)</f>
        <v>3</v>
      </c>
      <c r="S67" s="38">
        <f>COUNTIF(J:J,P67)</f>
        <v>1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4</v>
      </c>
      <c r="W67" s="38">
        <f>SUMIF(E:E,P67,H:H)+SUMIF(I:I,P67,F:F)</f>
        <v>3</v>
      </c>
      <c r="X67" s="38">
        <f t="shared" ref="X67:X69" si="67">V67-W67</f>
        <v>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5</v>
      </c>
      <c r="AH67" s="84">
        <f>VLOOKUP($AE67,$O$66:$X$69,4,FALSE)</f>
        <v>3</v>
      </c>
      <c r="AI67" s="84">
        <f>VLOOKUP($AE67,$O$66:$X$69,5,FALSE)</f>
        <v>1</v>
      </c>
      <c r="AJ67" s="84">
        <f>VLOOKUP($AE67,$O$66:$X$69,6,FALSE)</f>
        <v>2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>
        <v>0</v>
      </c>
      <c r="G68" s="84" t="s">
        <v>22</v>
      </c>
      <c r="H68" s="123">
        <v>0</v>
      </c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>Colômbia</v>
      </c>
      <c r="L68" s="38" t="str">
        <f t="shared" ref="L68:L75" si="70">IF(E68="","",IF(F68="","",IF(M68="empate",I68,"")))</f>
        <v>Portugal</v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3</v>
      </c>
      <c r="S68" s="38">
        <f>COUNTIF(J:J,P68)</f>
        <v>0</v>
      </c>
      <c r="T68" s="38">
        <f>COUNTIF(K:K,P68)+COUNTIF(L:L,P68)</f>
        <v>0</v>
      </c>
      <c r="U68" s="38">
        <f>COUNTIF(M:M,P68)</f>
        <v>3</v>
      </c>
      <c r="V68" s="38">
        <f>SUMIF(E:E,P68,F:F)+SUMIF(I:I,P68,H:H)</f>
        <v>2</v>
      </c>
      <c r="W68" s="38">
        <f>SUMIF(E:E,P68,H:H)+SUMIF(I:I,P68,F:F)</f>
        <v>11</v>
      </c>
      <c r="X68" s="38">
        <f t="shared" si="67"/>
        <v>-9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4</v>
      </c>
      <c r="AH68" s="84">
        <f>VLOOKUP($AE68,$O$66:$X$69,4,FALSE)</f>
        <v>3</v>
      </c>
      <c r="AI68" s="84">
        <f>VLOOKUP($AE68,$O$66:$X$69,5,FALSE)</f>
        <v>1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4</v>
      </c>
      <c r="AM68" s="84">
        <f>VLOOKUP($AE68,$O$66:$X$69,9,FALSE)</f>
        <v>3</v>
      </c>
      <c r="AN68" s="85">
        <f>VLOOKUP($AE68,$O$66:$X$69,10,FALSE)</f>
        <v>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>
        <v>3</v>
      </c>
      <c r="G69" s="87" t="s">
        <v>22</v>
      </c>
      <c r="H69" s="124">
        <v>1</v>
      </c>
      <c r="I69" s="109" t="str">
        <f>P68</f>
        <v>Uzbequistão</v>
      </c>
      <c r="J69" s="53" t="str">
        <f t="shared" si="68"/>
        <v>RD Congo</v>
      </c>
      <c r="K69" s="53" t="str">
        <f t="shared" si="69"/>
        <v/>
      </c>
      <c r="L69" s="53" t="str">
        <f t="shared" si="70"/>
        <v/>
      </c>
      <c r="M69" s="54" t="str">
        <f t="shared" si="71"/>
        <v>Uzbequistão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7</v>
      </c>
      <c r="R69" s="53">
        <f t="shared" si="66"/>
        <v>3</v>
      </c>
      <c r="S69" s="53">
        <f>COUNTIF(J:J,P69)</f>
        <v>2</v>
      </c>
      <c r="T69" s="53">
        <f>COUNTIF(K:K,P69)+COUNTIF(L:L,P69)</f>
        <v>1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3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3</v>
      </c>
      <c r="AL69" s="87">
        <f>VLOOKUP($AE69,$O$66:$X$69,8,FALSE)</f>
        <v>2</v>
      </c>
      <c r="AM69" s="87">
        <f>VLOOKUP($AE69,$O$66:$X$69,9,FALSE)</f>
        <v>11</v>
      </c>
      <c r="AN69" s="88">
        <f>VLOOKUP($AE69,$O$66:$X$69,10,FALSE)</f>
        <v>-9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7</v>
      </c>
      <c r="R72" s="38">
        <f>SUM(S72:U72)</f>
        <v>3</v>
      </c>
      <c r="S72" s="38">
        <f>COUNTIF(J:J,P72)</f>
        <v>2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6</v>
      </c>
      <c r="W72" s="38">
        <f>SUMIF(E:E,P72,H:H)+SUMIF(I:I,P72,F:F)</f>
        <v>2</v>
      </c>
      <c r="X72" s="38">
        <f>V72-W72</f>
        <v>4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7</v>
      </c>
      <c r="AH72" s="84">
        <f>VLOOKUP($AE72,$O$72:$X$75,4,FALSE)</f>
        <v>3</v>
      </c>
      <c r="AI72" s="84">
        <f>VLOOKUP($AE72,$O$72:$X$75,5,FALSE)</f>
        <v>2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6</v>
      </c>
      <c r="AM72" s="84">
        <f>VLOOKUP($AE72,$O$72:$X$75,9,FALSE)</f>
        <v>2</v>
      </c>
      <c r="AN72" s="85">
        <f>VLOOKUP($AE72,$O$72:$X$75,10,FALSE)</f>
        <v>4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6</v>
      </c>
      <c r="R73" s="38">
        <f t="shared" ref="R73:R75" si="73">SUM(S73:U73)</f>
        <v>3</v>
      </c>
      <c r="S73" s="38">
        <f>COUNTIF(J:J,P73)</f>
        <v>2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5</v>
      </c>
      <c r="W73" s="38">
        <f>SUMIF(E:E,P73,H:H)+SUMIF(I:I,P73,F:F)</f>
        <v>5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6</v>
      </c>
      <c r="AH73" s="84">
        <f t="shared" ref="AH73:AH75" si="81">VLOOKUP($AE73,$O$72:$X$75,4,FALSE)</f>
        <v>3</v>
      </c>
      <c r="AI73" s="84">
        <f t="shared" ref="AI73:AI75" si="82">VLOOKUP($AE73,$O$72:$X$75,5,FALSE)</f>
        <v>2</v>
      </c>
      <c r="AJ73" s="84">
        <f t="shared" ref="AJ73:AJ75" si="83">VLOOKUP($AE73,$O$72:$X$75,6,FALSE)</f>
        <v>0</v>
      </c>
      <c r="AK73" s="84">
        <f t="shared" ref="AK73:AK75" si="84">VLOOKUP($AE73,$O$72:$X$75,7,FALSE)</f>
        <v>1</v>
      </c>
      <c r="AL73" s="84">
        <f t="shared" ref="AL73:AL75" si="85">VLOOKUP($AE73,$O$72:$X$75,8,FALSE)</f>
        <v>5</v>
      </c>
      <c r="AM73" s="84">
        <f t="shared" ref="AM73:AM75" si="86">VLOOKUP($AE73,$O$72:$X$75,9,FALSE)</f>
        <v>5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>
        <v>0</v>
      </c>
      <c r="G74" s="84" t="s">
        <v>22</v>
      </c>
      <c r="H74" s="123">
        <v>2</v>
      </c>
      <c r="I74" s="113" t="str">
        <f>P72</f>
        <v>Inglaterra</v>
      </c>
      <c r="J74" s="38" t="str">
        <f t="shared" si="68"/>
        <v>Inglaterra</v>
      </c>
      <c r="K74" s="38" t="str">
        <f t="shared" si="69"/>
        <v/>
      </c>
      <c r="L74" s="38" t="str">
        <f t="shared" si="70"/>
        <v/>
      </c>
      <c r="M74" s="39" t="str">
        <f t="shared" si="71"/>
        <v>Panamá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4</v>
      </c>
      <c r="R74" s="38">
        <f t="shared" si="73"/>
        <v>3</v>
      </c>
      <c r="S74" s="38">
        <f>COUNTIF(J:J,P74)</f>
        <v>1</v>
      </c>
      <c r="T74" s="38">
        <f>COUNTIF(K:K,P74)+COUNTIF(L:L,P74)</f>
        <v>1</v>
      </c>
      <c r="U74" s="38">
        <f>COUNTIF(M:M,P74)</f>
        <v>1</v>
      </c>
      <c r="V74" s="38">
        <f>SUMIF(E:E,P74,F:F)+SUMIF(I:I,P74,H:H)</f>
        <v>2</v>
      </c>
      <c r="W74" s="38">
        <f>SUMIF(E:E,P74,H:H)+SUMIF(I:I,P74,F:F)</f>
        <v>2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4</v>
      </c>
      <c r="AH74" s="84">
        <f t="shared" si="81"/>
        <v>3</v>
      </c>
      <c r="AI74" s="84">
        <f t="shared" si="82"/>
        <v>1</v>
      </c>
      <c r="AJ74" s="84">
        <f t="shared" si="83"/>
        <v>1</v>
      </c>
      <c r="AK74" s="84">
        <f t="shared" si="84"/>
        <v>1</v>
      </c>
      <c r="AL74" s="84">
        <f t="shared" si="85"/>
        <v>2</v>
      </c>
      <c r="AM74" s="84">
        <f t="shared" si="86"/>
        <v>2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>
        <v>2</v>
      </c>
      <c r="G75" s="87" t="s">
        <v>22</v>
      </c>
      <c r="H75" s="124">
        <v>1</v>
      </c>
      <c r="I75" s="114" t="str">
        <f>P74</f>
        <v>Gana</v>
      </c>
      <c r="J75" s="53" t="str">
        <f t="shared" si="68"/>
        <v>Croácia</v>
      </c>
      <c r="K75" s="53" t="str">
        <f t="shared" si="69"/>
        <v/>
      </c>
      <c r="L75" s="53" t="str">
        <f t="shared" si="70"/>
        <v/>
      </c>
      <c r="M75" s="54" t="str">
        <f t="shared" si="71"/>
        <v>Gana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3</v>
      </c>
      <c r="S75" s="38">
        <f>COUNTIF(J:J,P75)</f>
        <v>0</v>
      </c>
      <c r="T75" s="38">
        <f>COUNTIF(K:K,P75)+COUNTIF(L:L,P75)</f>
        <v>0</v>
      </c>
      <c r="U75" s="38">
        <f>COUNTIF(M:M,P75)</f>
        <v>3</v>
      </c>
      <c r="V75" s="53">
        <f>SUMIF(E:E,P75,F:F)+SUMIF(I:I,P75,H:H)</f>
        <v>0</v>
      </c>
      <c r="W75" s="53">
        <f>SUMIF(E:E,P75,H:H)+SUMIF(I:I,P75,F:F)</f>
        <v>4</v>
      </c>
      <c r="X75" s="53">
        <f t="shared" si="74"/>
        <v>-4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3</v>
      </c>
      <c r="AI75" s="87">
        <f t="shared" si="82"/>
        <v>0</v>
      </c>
      <c r="AJ75" s="87">
        <f t="shared" si="83"/>
        <v>0</v>
      </c>
      <c r="AK75" s="87">
        <f t="shared" si="84"/>
        <v>3</v>
      </c>
      <c r="AL75" s="87">
        <f t="shared" si="85"/>
        <v>0</v>
      </c>
      <c r="AM75" s="87">
        <f t="shared" si="86"/>
        <v>4</v>
      </c>
      <c r="AN75" s="88">
        <f t="shared" si="87"/>
        <v>-4</v>
      </c>
    </row>
  </sheetData>
  <sheetProtection algorithmName="SHA-512" hashValue="8zT4037DyHXrLqdq5iYyYrMR0TWaotldz5hVI4fTDbdqZ7l+Cxdqs/9/FGMP4061jLNiKfePtLYXoWPo6TdRXA==" saltValue="fkE/EIHEl7y+xiKxPcgv5w==" spinCount="100000" sheet="1" objects="1" scenarios="1" selectLockedCells="1"/>
  <mergeCells count="2">
    <mergeCell ref="F3:H3"/>
    <mergeCell ref="BJ22:BM22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5 AF60:AF61 AF66:AF67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3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95" t="s">
        <v>99</v>
      </c>
      <c r="C2" s="197" t="s">
        <v>100</v>
      </c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9"/>
      <c r="O2" s="19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96"/>
      <c r="C3" s="200" t="s">
        <v>101</v>
      </c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2"/>
      <c r="O3" s="19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tabSelected="1" zoomScaleNormal="100" workbookViewId="0">
      <selection activeCell="G31" sqref="G31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2" t="s">
        <v>85</v>
      </c>
      <c r="C3" s="193"/>
      <c r="D3" s="193"/>
      <c r="E3" s="193"/>
      <c r="F3" s="193"/>
      <c r="G3" s="193"/>
      <c r="H3" s="193"/>
      <c r="I3" s="193"/>
      <c r="J3" s="193"/>
      <c r="K3" s="194"/>
      <c r="L3" s="131"/>
      <c r="M3" s="132"/>
      <c r="N3" s="132"/>
      <c r="O3" s="132"/>
      <c r="P3" s="132"/>
      <c r="Q3" s="132"/>
      <c r="W3" s="130"/>
      <c r="X3" s="192" t="s">
        <v>73</v>
      </c>
      <c r="Y3" s="193"/>
      <c r="Z3" s="193"/>
      <c r="AA3" s="193"/>
      <c r="AB3" s="193"/>
      <c r="AC3" s="193"/>
      <c r="AD3" s="193"/>
      <c r="AE3" s="193"/>
      <c r="AF3" s="193"/>
      <c r="AG3" s="194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203" t="s">
        <v>17</v>
      </c>
      <c r="F4" s="203"/>
      <c r="G4" s="203" t="s">
        <v>18</v>
      </c>
      <c r="H4" s="203"/>
      <c r="I4" s="203"/>
      <c r="J4" s="203" t="s">
        <v>17</v>
      </c>
      <c r="K4" s="20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203" t="s">
        <v>17</v>
      </c>
      <c r="AB4" s="203"/>
      <c r="AC4" s="203" t="s">
        <v>18</v>
      </c>
      <c r="AD4" s="203"/>
      <c r="AE4" s="203"/>
      <c r="AF4" s="203" t="s">
        <v>17</v>
      </c>
      <c r="AG4" s="20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África do Sul</v>
      </c>
      <c r="F5" s="149"/>
      <c r="G5" s="123">
        <v>0</v>
      </c>
      <c r="H5" s="84" t="s">
        <v>22</v>
      </c>
      <c r="I5" s="123">
        <v>1</v>
      </c>
      <c r="J5" s="150"/>
      <c r="K5" s="151" t="str">
        <f>IF('Fase de Grupos'!AH13=3,'Fase de Grupos'!AF13,"2º do Grupo B")</f>
        <v>Canadá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Canadá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França</v>
      </c>
      <c r="AB5" s="149"/>
      <c r="AC5" s="123"/>
      <c r="AD5" s="84" t="s">
        <v>22</v>
      </c>
      <c r="AE5" s="123"/>
      <c r="AF5" s="150"/>
      <c r="AG5" s="151" t="str">
        <f>M26</f>
        <v>Marrocos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Vencedor Q1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Alemanha</v>
      </c>
      <c r="F6" s="149">
        <v>3</v>
      </c>
      <c r="G6" s="123">
        <v>1</v>
      </c>
      <c r="H6" s="84" t="s">
        <v>22</v>
      </c>
      <c r="I6" s="123">
        <v>1</v>
      </c>
      <c r="J6" s="150">
        <v>4</v>
      </c>
      <c r="K6" s="151" t="str">
        <f>IF('Fase de Grupos'!$BL$18=36,R11,"3º A, B, C, D ou F")</f>
        <v>Paraguai</v>
      </c>
      <c r="L6" s="136" t="str">
        <f t="shared" ref="L6:L12" si="0">IF(OR(G6="",I6=""),"",IF(G6=I6,"emp",""))</f>
        <v>emp</v>
      </c>
      <c r="M6" s="133" t="str">
        <f>IF(OR(G6="",I6=""),"Vencedor 74",IF(G6&lt;&gt;I6,IF(G6&gt;I6,E6,K6),IF(SUM(F6:G6)=SUM(I6:J6),"Vencedor 74",IF(SUM(F6:G6)&gt;SUM(I6:J6),E6,K6))))</f>
        <v>Paraguai</v>
      </c>
      <c r="N6" s="133">
        <v>74</v>
      </c>
      <c r="P6" s="133" t="str">
        <f>'Fase de Grupos'!AR39</f>
        <v>3E3J3B3D3I3F3L3K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Espanha</v>
      </c>
      <c r="AB6" s="149"/>
      <c r="AC6" s="123"/>
      <c r="AD6" s="84" t="s">
        <v>22</v>
      </c>
      <c r="AE6" s="123"/>
      <c r="AF6" s="150"/>
      <c r="AG6" s="151" t="str">
        <f>M30</f>
        <v>Bélgica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Vencedor Q2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Países Baixos</v>
      </c>
      <c r="F7" s="149">
        <v>2</v>
      </c>
      <c r="G7" s="123">
        <v>1</v>
      </c>
      <c r="H7" s="84" t="s">
        <v>22</v>
      </c>
      <c r="I7" s="123">
        <v>1</v>
      </c>
      <c r="J7" s="150">
        <v>3</v>
      </c>
      <c r="K7" s="151" t="str">
        <f>IF('Fase de Grupos'!AH19=3,'Fase de Grupos'!AF19,"2º do Grupo C")</f>
        <v>Marrocos</v>
      </c>
      <c r="L7" s="136" t="str">
        <f t="shared" si="0"/>
        <v>emp</v>
      </c>
      <c r="M7" s="133" t="str">
        <f>IF(OR(G7="",I7=""),"Vencedor 75",IF(G7&lt;&gt;I7,IF(G7&gt;I7,E7,K7),IF(SUM(F7:G7)=SUM(I7:J7),"Vencedor 75",IF(SUM(F7:G7)&gt;SUM(I7:J7),E7,K7))))</f>
        <v>Marrocos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Noruega</v>
      </c>
      <c r="AB7" s="149"/>
      <c r="AC7" s="123"/>
      <c r="AD7" s="84" t="s">
        <v>22</v>
      </c>
      <c r="AE7" s="123"/>
      <c r="AF7" s="150"/>
      <c r="AG7" s="151" t="str">
        <f>M28</f>
        <v>Inglaterra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Vencedor Q3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Brasil</v>
      </c>
      <c r="F8" s="149"/>
      <c r="G8" s="123">
        <v>2</v>
      </c>
      <c r="H8" s="84" t="s">
        <v>22</v>
      </c>
      <c r="I8" s="123">
        <v>1</v>
      </c>
      <c r="J8" s="150"/>
      <c r="K8" s="151" t="str">
        <f>IF('Fase de Grupos'!AH37=3,'Fase de Grupos'!AF37,"2º do Grupo F")</f>
        <v>Japão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Brasil</v>
      </c>
      <c r="N8" s="133">
        <v>76</v>
      </c>
      <c r="P8" s="133" t="s">
        <v>102</v>
      </c>
      <c r="Q8" s="133" t="str">
        <f>MID($P$6,1,2)</f>
        <v>3E</v>
      </c>
      <c r="R8" s="15" t="str">
        <f>VLOOKUP(Q8,'Fase de Grupos'!$AR$30:$AS$37,2,FALSE)</f>
        <v>Equador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Vencedor 95</v>
      </c>
      <c r="AB8" s="149"/>
      <c r="AC8" s="123"/>
      <c r="AD8" s="84" t="s">
        <v>22</v>
      </c>
      <c r="AE8" s="123"/>
      <c r="AF8" s="150"/>
      <c r="AG8" s="151" t="str">
        <f>M32</f>
        <v>Vencedor 96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Vencedor Q4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França</v>
      </c>
      <c r="F9" s="149"/>
      <c r="G9" s="123">
        <v>3</v>
      </c>
      <c r="H9" s="84" t="s">
        <v>22</v>
      </c>
      <c r="I9" s="123">
        <v>0</v>
      </c>
      <c r="J9" s="150"/>
      <c r="K9" s="151" t="str">
        <f>IF('Fase de Grupos'!$BL$18=36,R13,"3º C, D, F, G ou H")</f>
        <v>Suécia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França</v>
      </c>
      <c r="N9" s="133">
        <v>77</v>
      </c>
      <c r="P9" s="133" t="s">
        <v>104</v>
      </c>
      <c r="Q9" s="133" t="str">
        <f>MID($P$6,3,2)</f>
        <v>3J</v>
      </c>
      <c r="R9" s="15" t="str">
        <f>VLOOKUP(Q9,'Fase de Grupos'!$AR$30:$AS$37,2,FALSE)</f>
        <v>Argélia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Costa do Marfim</v>
      </c>
      <c r="F10" s="149"/>
      <c r="G10" s="123">
        <v>1</v>
      </c>
      <c r="H10" s="84" t="s">
        <v>22</v>
      </c>
      <c r="I10" s="123">
        <v>2</v>
      </c>
      <c r="J10" s="150"/>
      <c r="K10" s="151" t="str">
        <f>IF('Fase de Grupos'!AH55=3,'Fase de Grupos'!AF55,"2º do Grupo I")</f>
        <v>Noruega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Noruega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Bósnia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México</v>
      </c>
      <c r="F11" s="149"/>
      <c r="G11" s="123">
        <v>2</v>
      </c>
      <c r="H11" s="84" t="s">
        <v>22</v>
      </c>
      <c r="I11" s="123">
        <v>0</v>
      </c>
      <c r="J11" s="150"/>
      <c r="K11" s="151" t="str">
        <f>IF('Fase de Grupos'!$BL$18=36,R8,"3º C, E, F, H ou I")</f>
        <v>Equador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México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2" t="s">
        <v>74</v>
      </c>
      <c r="Y11" s="193"/>
      <c r="Z11" s="193"/>
      <c r="AA11" s="193"/>
      <c r="AB11" s="193"/>
      <c r="AC11" s="193"/>
      <c r="AD11" s="193"/>
      <c r="AE11" s="193"/>
      <c r="AF11" s="193"/>
      <c r="AG11" s="194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Inglaterra</v>
      </c>
      <c r="F12" s="149"/>
      <c r="G12" s="123">
        <v>2</v>
      </c>
      <c r="H12" s="84" t="s">
        <v>22</v>
      </c>
      <c r="I12" s="123">
        <v>1</v>
      </c>
      <c r="J12" s="150"/>
      <c r="K12" s="151" t="str">
        <f>IF('Fase de Grupos'!$BL$18=36,R15,"3º E, H, I, J ou K")</f>
        <v>RD Congo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Inglaterra</v>
      </c>
      <c r="N12" s="133">
        <v>80</v>
      </c>
      <c r="P12" s="133" t="s">
        <v>107</v>
      </c>
      <c r="Q12" s="133" t="str">
        <f>MID($P$6,9,2)</f>
        <v>3I</v>
      </c>
      <c r="R12" s="15" t="str">
        <f>VLOOKUP(Q12,'Fase de Grupos'!$AR$30:$AS$37,2,FALSE)</f>
        <v>Senegal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203" t="s">
        <v>17</v>
      </c>
      <c r="AB12" s="203"/>
      <c r="AC12" s="203" t="s">
        <v>18</v>
      </c>
      <c r="AD12" s="203"/>
      <c r="AE12" s="203"/>
      <c r="AF12" s="203" t="s">
        <v>17</v>
      </c>
      <c r="AG12" s="20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Estados Unidos</v>
      </c>
      <c r="F13" s="149"/>
      <c r="G13" s="123">
        <v>2</v>
      </c>
      <c r="H13" s="84" t="s">
        <v>22</v>
      </c>
      <c r="I13" s="123">
        <v>0</v>
      </c>
      <c r="J13" s="150"/>
      <c r="K13" s="151" t="str">
        <f>IF('Fase de Grupos'!$BL$18=36,R10,"3º B, E, F, I ou J")</f>
        <v>Bósnia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Estados Unidos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Vencedor Q1</v>
      </c>
      <c r="AB13" s="149"/>
      <c r="AC13" s="123"/>
      <c r="AD13" s="84" t="s">
        <v>22</v>
      </c>
      <c r="AE13" s="123"/>
      <c r="AF13" s="150"/>
      <c r="AG13" s="151" t="str">
        <f>AI6</f>
        <v>Vencedor Q2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Bélgica</v>
      </c>
      <c r="F14" s="149"/>
      <c r="G14" s="123">
        <v>3</v>
      </c>
      <c r="H14" s="84" t="s">
        <v>22</v>
      </c>
      <c r="I14" s="123">
        <v>2</v>
      </c>
      <c r="J14" s="150"/>
      <c r="K14" s="151" t="str">
        <f>IF('Fase de Grupos'!$BL$18=36,R12,"3º A, E, H, I ou J")</f>
        <v>Senegal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Bélgica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Gana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46218</v>
      </c>
      <c r="Z14" s="36" t="s">
        <v>46</v>
      </c>
      <c r="AA14" s="106" t="str">
        <f>AI7</f>
        <v>Vencedor Q3</v>
      </c>
      <c r="AB14" s="149"/>
      <c r="AC14" s="123"/>
      <c r="AD14" s="84" t="s">
        <v>22</v>
      </c>
      <c r="AE14" s="123"/>
      <c r="AF14" s="150"/>
      <c r="AG14" s="151" t="str">
        <f>AI8</f>
        <v>Vencedor Q4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Portugal</v>
      </c>
      <c r="F15" s="149"/>
      <c r="G15" s="123">
        <v>2</v>
      </c>
      <c r="H15" s="84" t="s">
        <v>22</v>
      </c>
      <c r="I15" s="123">
        <v>1</v>
      </c>
      <c r="J15" s="150"/>
      <c r="K15" s="151" t="str">
        <f>IF('Fase de Grupos'!AH73=3,'Fase de Grupos'!AF73,"2º do Grupo L")</f>
        <v>Croácia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Portugal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Espanha</v>
      </c>
      <c r="F16" s="149"/>
      <c r="G16" s="123">
        <v>3</v>
      </c>
      <c r="H16" s="84" t="s">
        <v>22</v>
      </c>
      <c r="I16" s="123">
        <v>0</v>
      </c>
      <c r="J16" s="150"/>
      <c r="K16" s="151" t="str">
        <f>IF('Fase de Grupos'!AH61=3,'Fase de Grupos'!AF61,"2º do Grupo J")</f>
        <v>Áustria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Espanha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Suiça</v>
      </c>
      <c r="F17" s="149"/>
      <c r="G17" s="123">
        <v>2</v>
      </c>
      <c r="H17" s="84" t="s">
        <v>22</v>
      </c>
      <c r="I17" s="123">
        <v>0</v>
      </c>
      <c r="J17" s="150"/>
      <c r="K17" s="151" t="str">
        <f>IF('Fase de Grupos'!$BL$18=36,R9,"3º E, F, G, I ou J")</f>
        <v>Argélia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Suiça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2" t="s">
        <v>77</v>
      </c>
      <c r="Y17" s="193"/>
      <c r="Z17" s="193"/>
      <c r="AA17" s="193"/>
      <c r="AB17" s="193"/>
      <c r="AC17" s="193"/>
      <c r="AD17" s="193"/>
      <c r="AE17" s="193"/>
      <c r="AF17" s="193"/>
      <c r="AG17" s="194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Argentina</v>
      </c>
      <c r="F18" s="149"/>
      <c r="G18" s="123">
        <v>3</v>
      </c>
      <c r="H18" s="84" t="s">
        <v>22</v>
      </c>
      <c r="I18" s="123">
        <v>2</v>
      </c>
      <c r="J18" s="150"/>
      <c r="K18" s="151" t="str">
        <f>IF('Fase de Grupos'!AH49=3,'Fase de Grupos'!AF49,"2º do Grupo H")</f>
        <v>Cabo Verde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Argentina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203" t="s">
        <v>17</v>
      </c>
      <c r="AB18" s="203"/>
      <c r="AC18" s="203" t="s">
        <v>18</v>
      </c>
      <c r="AD18" s="203"/>
      <c r="AE18" s="203"/>
      <c r="AF18" s="203" t="s">
        <v>17</v>
      </c>
      <c r="AG18" s="20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Colômbia</v>
      </c>
      <c r="F19" s="149"/>
      <c r="G19" s="123">
        <v>1</v>
      </c>
      <c r="H19" s="84" t="s">
        <v>22</v>
      </c>
      <c r="I19" s="123">
        <v>0</v>
      </c>
      <c r="J19" s="150"/>
      <c r="K19" s="151" t="str">
        <f>IF('Fase de Grupos'!$BL$18=36,R14,"3º D, E, I, J ou L")</f>
        <v>Gana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Colômbia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Austrália</v>
      </c>
      <c r="F20" s="149">
        <v>2</v>
      </c>
      <c r="G20" s="123">
        <v>1</v>
      </c>
      <c r="H20" s="84" t="s">
        <v>22</v>
      </c>
      <c r="I20" s="123">
        <v>1</v>
      </c>
      <c r="J20" s="150">
        <v>4</v>
      </c>
      <c r="K20" s="151" t="str">
        <f>IF('Fase de Grupos'!AH43=3,'Fase de Grupos'!AF43,"2º do Grupo G")</f>
        <v>Egito</v>
      </c>
      <c r="L20" s="136" t="str">
        <f t="shared" si="4"/>
        <v>emp</v>
      </c>
      <c r="M20" s="133" t="str">
        <f>IF(OR(G20="",I20=""),"Vencedor 88",IF(G20&lt;&gt;I20,IF(G20&gt;I20,E20,K20),IF(SUM(F20:G20)=SUM(I20:J20),"Vencedor 88",IF(SUM(F20:G20)&gt;SUM(I20:J20),E20,K20))))</f>
        <v>Egito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2" t="s">
        <v>72</v>
      </c>
      <c r="C23" s="193"/>
      <c r="D23" s="193"/>
      <c r="E23" s="193"/>
      <c r="F23" s="193"/>
      <c r="G23" s="193"/>
      <c r="H23" s="193"/>
      <c r="I23" s="193"/>
      <c r="J23" s="193"/>
      <c r="K23" s="194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2" t="s">
        <v>79</v>
      </c>
      <c r="Y23" s="193"/>
      <c r="Z23" s="193"/>
      <c r="AA23" s="193"/>
      <c r="AB23" s="193"/>
      <c r="AC23" s="193"/>
      <c r="AD23" s="193"/>
      <c r="AE23" s="193"/>
      <c r="AF23" s="193"/>
      <c r="AG23" s="194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203" t="s">
        <v>17</v>
      </c>
      <c r="F24" s="203"/>
      <c r="G24" s="203" t="s">
        <v>18</v>
      </c>
      <c r="H24" s="203"/>
      <c r="I24" s="203"/>
      <c r="J24" s="203" t="s">
        <v>17</v>
      </c>
      <c r="K24" s="20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203" t="s">
        <v>17</v>
      </c>
      <c r="AB24" s="203"/>
      <c r="AC24" s="203" t="s">
        <v>18</v>
      </c>
      <c r="AD24" s="203"/>
      <c r="AE24" s="203"/>
      <c r="AF24" s="203" t="s">
        <v>17</v>
      </c>
      <c r="AG24" s="20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Paraguai</v>
      </c>
      <c r="F25" s="149"/>
      <c r="G25" s="123">
        <v>0</v>
      </c>
      <c r="H25" s="84" t="s">
        <v>22</v>
      </c>
      <c r="I25" s="123">
        <v>1</v>
      </c>
      <c r="J25" s="150"/>
      <c r="K25" s="151" t="str">
        <f>M9</f>
        <v>França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França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Canadá</v>
      </c>
      <c r="F26" s="149"/>
      <c r="G26" s="123">
        <v>0</v>
      </c>
      <c r="H26" s="84" t="s">
        <v>22</v>
      </c>
      <c r="I26" s="123">
        <v>3</v>
      </c>
      <c r="J26" s="150"/>
      <c r="K26" s="151" t="str">
        <f>M7</f>
        <v>Marrocos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Marrocos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Brasil</v>
      </c>
      <c r="F27" s="149"/>
      <c r="G27" s="123">
        <v>1</v>
      </c>
      <c r="H27" s="84" t="s">
        <v>22</v>
      </c>
      <c r="I27" s="123">
        <v>2</v>
      </c>
      <c r="J27" s="150"/>
      <c r="K27" s="151" t="str">
        <f>M10</f>
        <v>Noruega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Noruega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México</v>
      </c>
      <c r="F28" s="149"/>
      <c r="G28" s="123">
        <v>2</v>
      </c>
      <c r="H28" s="84" t="s">
        <v>22</v>
      </c>
      <c r="I28" s="123">
        <v>3</v>
      </c>
      <c r="J28" s="150"/>
      <c r="K28" s="151" t="str">
        <f>M12</f>
        <v>Inglaterra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Inglaterra</v>
      </c>
      <c r="N28" s="133">
        <v>92</v>
      </c>
      <c r="T28" s="15" t="s">
        <v>109</v>
      </c>
      <c r="U28" s="15">
        <f t="shared" ref="U28:U30" si="21">U27+5</f>
        <v>65</v>
      </c>
      <c r="AD28" s="192" t="s">
        <v>211</v>
      </c>
      <c r="AE28" s="193"/>
      <c r="AF28" s="193"/>
      <c r="AG28" s="194"/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Portugal</v>
      </c>
      <c r="F29" s="149"/>
      <c r="G29" s="123">
        <v>0</v>
      </c>
      <c r="H29" s="84" t="s">
        <v>22</v>
      </c>
      <c r="I29" s="123">
        <v>1</v>
      </c>
      <c r="J29" s="150"/>
      <c r="K29" s="151" t="str">
        <f>M16</f>
        <v>Espanha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Espanha</v>
      </c>
      <c r="N29" s="133">
        <v>93</v>
      </c>
      <c r="T29" s="15" t="s">
        <v>130</v>
      </c>
      <c r="U29" s="15">
        <f t="shared" ref="U29:U31" si="22">U28+1</f>
        <v>66</v>
      </c>
      <c r="AD29" s="182"/>
      <c r="AE29" s="181"/>
      <c r="AF29" s="181"/>
      <c r="AG29" s="183"/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Estados Unidos</v>
      </c>
      <c r="F30" s="149"/>
      <c r="G30" s="123">
        <v>1</v>
      </c>
      <c r="H30" s="84" t="s">
        <v>22</v>
      </c>
      <c r="I30" s="123">
        <v>4</v>
      </c>
      <c r="J30" s="150"/>
      <c r="K30" s="151" t="str">
        <f>M14</f>
        <v>Bélgica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Bélgica</v>
      </c>
      <c r="N30" s="133">
        <v>94</v>
      </c>
      <c r="T30" s="15" t="s">
        <v>110</v>
      </c>
      <c r="U30" s="15">
        <f t="shared" si="21"/>
        <v>71</v>
      </c>
      <c r="AD30" s="182"/>
      <c r="AE30" s="181"/>
      <c r="AF30" s="181"/>
      <c r="AG30" s="184"/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Argentina</v>
      </c>
      <c r="F31" s="149"/>
      <c r="G31" s="123"/>
      <c r="H31" s="84" t="s">
        <v>22</v>
      </c>
      <c r="I31" s="123"/>
      <c r="J31" s="150"/>
      <c r="K31" s="151" t="str">
        <f>M20</f>
        <v>Egito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Vencedor 95</v>
      </c>
      <c r="N31" s="133">
        <v>95</v>
      </c>
      <c r="T31" s="15" t="s">
        <v>129</v>
      </c>
      <c r="U31" s="15">
        <f t="shared" si="22"/>
        <v>72</v>
      </c>
      <c r="AD31" s="182"/>
      <c r="AE31" s="181"/>
      <c r="AF31" s="181"/>
      <c r="AG31" s="184"/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Suiça</v>
      </c>
      <c r="F32" s="149"/>
      <c r="G32" s="123"/>
      <c r="H32" s="84" t="s">
        <v>22</v>
      </c>
      <c r="I32" s="123"/>
      <c r="J32" s="150"/>
      <c r="K32" s="151" t="str">
        <f>M19</f>
        <v>Colômbia</v>
      </c>
      <c r="L32" s="136" t="str">
        <f t="shared" si="18"/>
        <v/>
      </c>
      <c r="M32" s="133" t="str">
        <f>IF(OR(G32="",I32=""),"Vencedor 96",IF(G32&lt;&gt;I32,IF(G32&gt;I32,E32,K32),IF(SUM(F32:G32)=SUM(I32:J32),"Vencedor 96",IF(SUM(F32:G32)&gt;SUM(I32:J32),E32,K32))))</f>
        <v>Vencedor 96</v>
      </c>
      <c r="N32" s="133">
        <v>96</v>
      </c>
      <c r="AD32" s="185"/>
      <c r="AE32" s="186"/>
      <c r="AF32" s="186"/>
      <c r="AG32" s="187"/>
    </row>
    <row r="33" spans="2:33" x14ac:dyDescent="0.25">
      <c r="C33" s="137"/>
    </row>
    <row r="34" spans="2:33" ht="21" x14ac:dyDescent="0.35">
      <c r="B34" s="140"/>
      <c r="X34" s="158" t="s">
        <v>206</v>
      </c>
      <c r="Y34" s="209" t="s">
        <v>81</v>
      </c>
      <c r="Z34" s="209"/>
      <c r="AA34" s="209"/>
      <c r="AB34" s="204" t="str">
        <f>IF(AI25="1º Lugar","",AI25)</f>
        <v/>
      </c>
      <c r="AC34" s="204"/>
      <c r="AD34" s="204"/>
      <c r="AE34" s="204"/>
      <c r="AF34" s="204"/>
      <c r="AG34" s="204"/>
    </row>
    <row r="35" spans="2:33" ht="18.75" x14ac:dyDescent="0.3">
      <c r="B35" s="140"/>
      <c r="X35" s="159" t="s">
        <v>207</v>
      </c>
      <c r="Y35" s="207" t="s">
        <v>82</v>
      </c>
      <c r="Z35" s="207"/>
      <c r="AA35" s="207"/>
      <c r="AB35" s="205" t="str">
        <f>IF(M57="2º Lugar","",M57)</f>
        <v/>
      </c>
      <c r="AC35" s="205"/>
      <c r="AD35" s="205"/>
      <c r="AE35" s="205"/>
      <c r="AF35" s="205"/>
      <c r="AG35" s="205"/>
    </row>
    <row r="36" spans="2:33" ht="15.75" x14ac:dyDescent="0.25">
      <c r="B36" s="140"/>
      <c r="X36" s="160" t="s">
        <v>208</v>
      </c>
      <c r="Y36" s="208" t="s">
        <v>83</v>
      </c>
      <c r="Z36" s="208"/>
      <c r="AA36" s="208"/>
      <c r="AB36" s="206" t="str">
        <f>IF(AI19="3º Lugar","",AI19)</f>
        <v/>
      </c>
      <c r="AC36" s="206"/>
      <c r="AD36" s="206"/>
      <c r="AE36" s="206"/>
      <c r="AF36" s="206"/>
      <c r="AG36" s="20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vyOy7e+Kipl/iIim/AhmV04T3MRdO7XqZOrn9PPXS3pWOghvTWOXD8HUj7i1Pq8tpKgw5m5Lutctpe8ebuImew==" saltValue="GsBJjoEg17jBuxUGR0mlBg==" spinCount="100000" sheet="1" objects="1" scenarios="1" selectLockedCells="1"/>
  <mergeCells count="31"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AD28:AG28"/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10"/>
      <c r="F4" s="210"/>
      <c r="H4" s="210"/>
      <c r="J4" s="210"/>
      <c r="L4" s="210"/>
      <c r="N4" s="210"/>
      <c r="P4" s="210"/>
      <c r="R4" s="210"/>
      <c r="T4" s="210"/>
      <c r="V4" s="210"/>
      <c r="X4" s="210"/>
      <c r="Z4" s="210"/>
      <c r="AB4" s="210"/>
      <c r="AD4" s="210"/>
      <c r="AF4" s="210"/>
      <c r="AH4" s="210"/>
    </row>
    <row r="5" spans="2:34" x14ac:dyDescent="0.3">
      <c r="C5" s="169" t="s">
        <v>163</v>
      </c>
      <c r="D5" s="210"/>
      <c r="F5" s="210"/>
      <c r="H5" s="210"/>
      <c r="J5" s="210"/>
      <c r="L5" s="210"/>
      <c r="N5" s="210"/>
      <c r="P5" s="210"/>
      <c r="R5" s="210"/>
      <c r="T5" s="210"/>
      <c r="V5" s="210"/>
      <c r="X5" s="210"/>
      <c r="Z5" s="210"/>
      <c r="AB5" s="210"/>
      <c r="AD5" s="210"/>
      <c r="AF5" s="210"/>
      <c r="AH5" s="210"/>
    </row>
    <row r="6" spans="2:34" x14ac:dyDescent="0.3">
      <c r="C6" s="169" t="s">
        <v>162</v>
      </c>
      <c r="D6" s="210"/>
      <c r="F6" s="210"/>
      <c r="H6" s="210"/>
      <c r="J6" s="210"/>
      <c r="L6" s="210"/>
      <c r="N6" s="210"/>
      <c r="P6" s="210"/>
      <c r="R6" s="210"/>
      <c r="T6" s="210"/>
      <c r="V6" s="210"/>
      <c r="X6" s="210"/>
      <c r="Z6" s="210"/>
      <c r="AB6" s="210"/>
      <c r="AD6" s="210"/>
      <c r="AF6" s="210"/>
      <c r="AH6" s="210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N4:N6"/>
    <mergeCell ref="D4:D6"/>
    <mergeCell ref="F4:F6"/>
    <mergeCell ref="H4:H6"/>
    <mergeCell ref="J4:J6"/>
    <mergeCell ref="L4:L6"/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2026-07-07T12:50:04Z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