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13_ncr:1_{F4533961-1E4B-4EC1-B2AD-ABF210F96F92}" xr6:coauthVersionLast="47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-120" yWindow="-120" windowWidth="29040" windowHeight="15720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M11" i="4"/>
  <c r="E28" i="4" s="1"/>
  <c r="M10" i="4"/>
  <c r="K27" i="4" s="1"/>
  <c r="M9" i="4"/>
  <c r="K25" i="4" s="1"/>
  <c r="M8" i="4"/>
  <c r="E27" i="4" s="1"/>
  <c r="M7" i="4"/>
  <c r="K26" i="4" s="1"/>
  <c r="M6" i="4"/>
  <c r="E25" i="4" s="1"/>
  <c r="M5" i="4"/>
  <c r="E26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L71" i="3" s="1"/>
  <c r="P75" i="3"/>
  <c r="I71" i="3" s="1"/>
  <c r="P72" i="3"/>
  <c r="E72" i="3" s="1"/>
  <c r="L72" i="3" s="1"/>
  <c r="P67" i="3"/>
  <c r="E69" i="3" s="1"/>
  <c r="L69" i="3" s="1"/>
  <c r="P68" i="3"/>
  <c r="I66" i="3" s="1"/>
  <c r="M66" i="3" s="1"/>
  <c r="P69" i="3"/>
  <c r="E68" i="3" s="1"/>
  <c r="L68" i="3" s="1"/>
  <c r="P66" i="3"/>
  <c r="P61" i="3"/>
  <c r="P63" i="3"/>
  <c r="I59" i="3" s="1"/>
  <c r="P60" i="3"/>
  <c r="E60" i="3" s="1"/>
  <c r="P55" i="3"/>
  <c r="P56" i="3"/>
  <c r="P57" i="3"/>
  <c r="E55" i="3" s="1"/>
  <c r="L55" i="3" s="1"/>
  <c r="P54" i="3"/>
  <c r="M75" i="3"/>
  <c r="K75" i="3"/>
  <c r="J75" i="3"/>
  <c r="M74" i="3"/>
  <c r="K74" i="3"/>
  <c r="J74" i="3"/>
  <c r="M73" i="3"/>
  <c r="K73" i="3"/>
  <c r="J73" i="3"/>
  <c r="M72" i="3"/>
  <c r="K72" i="3"/>
  <c r="J72" i="3"/>
  <c r="M71" i="3"/>
  <c r="K71" i="3"/>
  <c r="J71" i="3"/>
  <c r="M70" i="3"/>
  <c r="K70" i="3"/>
  <c r="J70" i="3"/>
  <c r="M69" i="3"/>
  <c r="K69" i="3"/>
  <c r="J69" i="3"/>
  <c r="M68" i="3"/>
  <c r="K68" i="3"/>
  <c r="J68" i="3"/>
  <c r="E67" i="3"/>
  <c r="J67" i="3" s="1"/>
  <c r="K67" i="3" s="1"/>
  <c r="I65" i="3"/>
  <c r="M65" i="3" s="1"/>
  <c r="M63" i="3"/>
  <c r="K63" i="3"/>
  <c r="J63" i="3"/>
  <c r="M62" i="3"/>
  <c r="K62" i="3"/>
  <c r="J62" i="3"/>
  <c r="M61" i="3"/>
  <c r="K61" i="3"/>
  <c r="J61" i="3"/>
  <c r="M60" i="3"/>
  <c r="J60" i="3"/>
  <c r="K60" i="3" s="1"/>
  <c r="M59" i="3"/>
  <c r="J59" i="3"/>
  <c r="M58" i="3"/>
  <c r="J58" i="3"/>
  <c r="K58" i="3" s="1"/>
  <c r="M57" i="3"/>
  <c r="K57" i="3"/>
  <c r="J57" i="3"/>
  <c r="M56" i="3"/>
  <c r="K56" i="3"/>
  <c r="J56" i="3"/>
  <c r="M55" i="3"/>
  <c r="K55" i="3"/>
  <c r="J55" i="3"/>
  <c r="M54" i="3"/>
  <c r="K54" i="3"/>
  <c r="J54" i="3"/>
  <c r="M53" i="3"/>
  <c r="K53" i="3"/>
  <c r="J53" i="3"/>
  <c r="M52" i="3"/>
  <c r="K52" i="3"/>
  <c r="J52" i="3"/>
  <c r="P49" i="3"/>
  <c r="P50" i="3"/>
  <c r="I51" i="3" s="1"/>
  <c r="P51" i="3"/>
  <c r="E50" i="3" s="1"/>
  <c r="L50" i="3" s="1"/>
  <c r="P43" i="3"/>
  <c r="I43" i="3" s="1"/>
  <c r="P44" i="3"/>
  <c r="E41" i="3" s="1"/>
  <c r="L41" i="3" s="1"/>
  <c r="P45" i="3"/>
  <c r="E43" i="3" s="1"/>
  <c r="L43" i="3" s="1"/>
  <c r="P42" i="3"/>
  <c r="I44" i="3" s="1"/>
  <c r="P37" i="3"/>
  <c r="I34" i="3" s="1"/>
  <c r="P38" i="3"/>
  <c r="E35" i="3" s="1"/>
  <c r="L35" i="3" s="1"/>
  <c r="P39" i="3"/>
  <c r="E38" i="3" s="1"/>
  <c r="L38" i="3" s="1"/>
  <c r="P36" i="3"/>
  <c r="E34" i="3" s="1"/>
  <c r="L34" i="3" s="1"/>
  <c r="P31" i="3"/>
  <c r="I31" i="3" s="1"/>
  <c r="P32" i="3"/>
  <c r="I30" i="3" s="1"/>
  <c r="P33" i="3"/>
  <c r="E32" i="3" s="1"/>
  <c r="L32" i="3" s="1"/>
  <c r="P30" i="3"/>
  <c r="E30" i="3" s="1"/>
  <c r="L30" i="3" s="1"/>
  <c r="P25" i="3"/>
  <c r="E27" i="3" s="1"/>
  <c r="L27" i="3" s="1"/>
  <c r="P26" i="3"/>
  <c r="E23" i="3" s="1"/>
  <c r="L23" i="3" s="1"/>
  <c r="P27" i="3"/>
  <c r="E26" i="3" s="1"/>
  <c r="L26" i="3" s="1"/>
  <c r="P24" i="3"/>
  <c r="I26" i="3" s="1"/>
  <c r="P19" i="3"/>
  <c r="I16" i="3" s="1"/>
  <c r="P20" i="3"/>
  <c r="E17" i="3" s="1"/>
  <c r="L17" i="3" s="1"/>
  <c r="P21" i="3"/>
  <c r="E20" i="3" s="1"/>
  <c r="L20" i="3" s="1"/>
  <c r="P18" i="3"/>
  <c r="E18" i="3" s="1"/>
  <c r="L18" i="3" s="1"/>
  <c r="P13" i="3"/>
  <c r="E15" i="3" s="1"/>
  <c r="L15" i="3" s="1"/>
  <c r="P14" i="3"/>
  <c r="I12" i="3" s="1"/>
  <c r="P15" i="3"/>
  <c r="E13" i="3" s="1"/>
  <c r="L13" i="3" s="1"/>
  <c r="P12" i="3"/>
  <c r="E10" i="3" s="1"/>
  <c r="E6" i="3"/>
  <c r="M51" i="3"/>
  <c r="K51" i="3"/>
  <c r="J51" i="3"/>
  <c r="E51" i="3"/>
  <c r="L51" i="3" s="1"/>
  <c r="M50" i="3"/>
  <c r="K50" i="3"/>
  <c r="J50" i="3"/>
  <c r="M49" i="3"/>
  <c r="K49" i="3"/>
  <c r="J49" i="3"/>
  <c r="I49" i="3"/>
  <c r="M48" i="3"/>
  <c r="K48" i="3"/>
  <c r="J48" i="3"/>
  <c r="E48" i="3"/>
  <c r="L48" i="3" s="1"/>
  <c r="M47" i="3"/>
  <c r="K47" i="3"/>
  <c r="J47" i="3"/>
  <c r="M46" i="3"/>
  <c r="K46" i="3"/>
  <c r="J46" i="3"/>
  <c r="I46" i="3"/>
  <c r="E46" i="3"/>
  <c r="L46" i="3" s="1"/>
  <c r="M45" i="3"/>
  <c r="K45" i="3"/>
  <c r="J45" i="3"/>
  <c r="M44" i="3"/>
  <c r="K44" i="3"/>
  <c r="J44" i="3"/>
  <c r="M43" i="3"/>
  <c r="K43" i="3"/>
  <c r="J43" i="3"/>
  <c r="M42" i="3"/>
  <c r="K42" i="3"/>
  <c r="J42" i="3"/>
  <c r="M41" i="3"/>
  <c r="K41" i="3"/>
  <c r="J41" i="3"/>
  <c r="M40" i="3"/>
  <c r="K40" i="3"/>
  <c r="J40" i="3"/>
  <c r="M39" i="3"/>
  <c r="K39" i="3"/>
  <c r="J39" i="3"/>
  <c r="M38" i="3"/>
  <c r="K38" i="3"/>
  <c r="J38" i="3"/>
  <c r="M37" i="3"/>
  <c r="K37" i="3"/>
  <c r="J37" i="3"/>
  <c r="M36" i="3"/>
  <c r="K36" i="3"/>
  <c r="J36" i="3"/>
  <c r="M35" i="3"/>
  <c r="K35" i="3"/>
  <c r="J35" i="3"/>
  <c r="M34" i="3"/>
  <c r="K34" i="3"/>
  <c r="J34" i="3"/>
  <c r="M33" i="3"/>
  <c r="K33" i="3"/>
  <c r="J33" i="3"/>
  <c r="I33" i="3"/>
  <c r="E33" i="3"/>
  <c r="L33" i="3" s="1"/>
  <c r="M32" i="3"/>
  <c r="K32" i="3"/>
  <c r="J32" i="3"/>
  <c r="M31" i="3"/>
  <c r="K31" i="3"/>
  <c r="J31" i="3"/>
  <c r="M30" i="3"/>
  <c r="K30" i="3"/>
  <c r="J30" i="3"/>
  <c r="M29" i="3"/>
  <c r="K29" i="3"/>
  <c r="J29" i="3"/>
  <c r="M28" i="3"/>
  <c r="K28" i="3"/>
  <c r="J28" i="3"/>
  <c r="E28" i="3"/>
  <c r="L28" i="3" s="1"/>
  <c r="M27" i="3"/>
  <c r="K27" i="3"/>
  <c r="J27" i="3"/>
  <c r="M26" i="3"/>
  <c r="K26" i="3"/>
  <c r="J26" i="3"/>
  <c r="M25" i="3"/>
  <c r="K25" i="3"/>
  <c r="J25" i="3"/>
  <c r="M24" i="3"/>
  <c r="K24" i="3"/>
  <c r="J24" i="3"/>
  <c r="M23" i="3"/>
  <c r="K23" i="3"/>
  <c r="J23" i="3"/>
  <c r="M22" i="3"/>
  <c r="K22" i="3"/>
  <c r="J22" i="3"/>
  <c r="M21" i="3"/>
  <c r="K21" i="3"/>
  <c r="J21" i="3"/>
  <c r="M20" i="3"/>
  <c r="K20" i="3"/>
  <c r="J20" i="3"/>
  <c r="M19" i="3"/>
  <c r="K19" i="3"/>
  <c r="J19" i="3"/>
  <c r="M18" i="3"/>
  <c r="K18" i="3"/>
  <c r="J18" i="3"/>
  <c r="M17" i="3"/>
  <c r="K17" i="3"/>
  <c r="J17" i="3"/>
  <c r="M16" i="3"/>
  <c r="K16" i="3"/>
  <c r="J16" i="3"/>
  <c r="M15" i="3"/>
  <c r="K15" i="3"/>
  <c r="J15" i="3"/>
  <c r="I15" i="3"/>
  <c r="M14" i="3"/>
  <c r="K14" i="3"/>
  <c r="J14" i="3"/>
  <c r="M13" i="3"/>
  <c r="K13" i="3"/>
  <c r="J13" i="3"/>
  <c r="M12" i="3"/>
  <c r="K12" i="3"/>
  <c r="J12" i="3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M4" i="3"/>
  <c r="E29" i="3" l="1"/>
  <c r="L29" i="3" s="1"/>
  <c r="I29" i="3"/>
  <c r="I32" i="3"/>
  <c r="I48" i="3"/>
  <c r="E61" i="3"/>
  <c r="L61" i="3" s="1"/>
  <c r="E62" i="3"/>
  <c r="L62" i="3" s="1"/>
  <c r="E59" i="3"/>
  <c r="I63" i="3"/>
  <c r="I14" i="3"/>
  <c r="I4" i="3"/>
  <c r="E9" i="3"/>
  <c r="L9" i="3" s="1"/>
  <c r="I28" i="3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L22" i="3" s="1"/>
  <c r="I35" i="3"/>
  <c r="I17" i="3"/>
  <c r="E40" i="3"/>
  <c r="L40" i="3" s="1"/>
  <c r="E56" i="3"/>
  <c r="L56" i="3" s="1"/>
  <c r="L8" i="3"/>
  <c r="L7" i="3"/>
  <c r="L6" i="3"/>
  <c r="U15" i="3"/>
  <c r="U72" i="3"/>
  <c r="U66" i="3"/>
  <c r="L60" i="3"/>
  <c r="L59" i="3"/>
  <c r="K59" i="3"/>
  <c r="U62" i="3"/>
  <c r="U12" i="3"/>
  <c r="U18" i="3"/>
  <c r="U24" i="3"/>
  <c r="U30" i="3"/>
  <c r="U36" i="3"/>
  <c r="U42" i="3"/>
  <c r="U48" i="3"/>
  <c r="U55" i="3"/>
  <c r="U61" i="3"/>
  <c r="U67" i="3"/>
  <c r="U73" i="3"/>
  <c r="U13" i="3"/>
  <c r="U19" i="3"/>
  <c r="U25" i="3"/>
  <c r="U31" i="3"/>
  <c r="U37" i="3"/>
  <c r="U43" i="3"/>
  <c r="U49" i="3"/>
  <c r="U56" i="3"/>
  <c r="U68" i="3"/>
  <c r="U74" i="3"/>
  <c r="U14" i="3"/>
  <c r="U20" i="3"/>
  <c r="U26" i="3"/>
  <c r="U32" i="3"/>
  <c r="U38" i="3"/>
  <c r="U44" i="3"/>
  <c r="U50" i="3"/>
  <c r="U57" i="3"/>
  <c r="U63" i="3"/>
  <c r="U69" i="3"/>
  <c r="U75" i="3"/>
  <c r="U54" i="3"/>
  <c r="U21" i="3"/>
  <c r="U27" i="3"/>
  <c r="U33" i="3"/>
  <c r="U39" i="3"/>
  <c r="U45" i="3"/>
  <c r="U51" i="3"/>
  <c r="U60" i="3"/>
  <c r="U9" i="3"/>
  <c r="U8" i="3"/>
  <c r="U7" i="3"/>
  <c r="U6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L66" i="3" l="1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X21" i="3" s="1"/>
  <c r="W66" i="3"/>
  <c r="W72" i="3"/>
  <c r="V54" i="3"/>
  <c r="W7" i="3"/>
  <c r="W9" i="3"/>
  <c r="W8" i="3"/>
  <c r="W15" i="3"/>
  <c r="X15" i="3" s="1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62" i="3" l="1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Q66" i="3"/>
  <c r="T7" i="3"/>
  <c r="Q7" i="3" s="1"/>
  <c r="T8" i="3"/>
  <c r="Q8" i="3" s="1"/>
  <c r="T9" i="3"/>
  <c r="R9" i="3" s="1"/>
  <c r="Q67" i="3"/>
  <c r="R67" i="3"/>
  <c r="T6" i="3"/>
  <c r="Q6" i="3" s="1"/>
  <c r="Q57" i="3" l="1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AA69" i="3"/>
  <c r="AB66" i="3"/>
  <c r="AA66" i="3"/>
  <c r="Z66" i="3"/>
  <c r="Y66" i="3"/>
  <c r="Y67" i="3"/>
  <c r="Z67" i="3"/>
  <c r="AA67" i="3"/>
  <c r="AB67" i="3"/>
  <c r="Y68" i="3"/>
  <c r="Z68" i="3"/>
  <c r="AA68" i="3"/>
  <c r="AB68" i="3"/>
  <c r="Y69" i="3"/>
  <c r="Z69" i="3"/>
  <c r="AB69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Y75" i="3" l="1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O66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O67" i="3"/>
  <c r="AB43" i="3"/>
  <c r="AB42" i="3"/>
  <c r="Z43" i="3"/>
  <c r="Y45" i="3"/>
  <c r="O69" i="3"/>
  <c r="AA45" i="3"/>
  <c r="Z45" i="3"/>
  <c r="AA42" i="3"/>
  <c r="Z42" i="3"/>
  <c r="O68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21" i="3" l="1"/>
  <c r="O14" i="3"/>
  <c r="O7" i="3"/>
  <c r="O8" i="3"/>
  <c r="O50" i="3"/>
  <c r="AJ69" i="3"/>
  <c r="AN67" i="3"/>
  <c r="AJ66" i="3"/>
  <c r="AF69" i="3"/>
  <c r="AI69" i="3"/>
  <c r="AM67" i="3"/>
  <c r="AI66" i="3"/>
  <c r="AF66" i="3"/>
  <c r="AH69" i="3"/>
  <c r="AL67" i="3"/>
  <c r="AH66" i="3"/>
  <c r="E19" i="4" s="1"/>
  <c r="AG69" i="3"/>
  <c r="AK67" i="3"/>
  <c r="AG66" i="3"/>
  <c r="AN68" i="3"/>
  <c r="AJ67" i="3"/>
  <c r="AM68" i="3"/>
  <c r="AI67" i="3"/>
  <c r="AL69" i="3"/>
  <c r="AH68" i="3"/>
  <c r="AL66" i="3"/>
  <c r="AF67" i="3"/>
  <c r="AL68" i="3"/>
  <c r="AH67" i="3"/>
  <c r="E15" i="4" s="1"/>
  <c r="AK68" i="3"/>
  <c r="AG67" i="3"/>
  <c r="AN69" i="3"/>
  <c r="AJ68" i="3"/>
  <c r="AN66" i="3"/>
  <c r="AM69" i="3"/>
  <c r="AI68" i="3"/>
  <c r="AM66" i="3"/>
  <c r="AK69" i="3"/>
  <c r="AG68" i="3"/>
  <c r="AK66" i="3"/>
  <c r="AF68" i="3"/>
  <c r="AQ16" i="3" s="1"/>
  <c r="BA16" i="3" s="1"/>
  <c r="O63" i="3"/>
  <c r="O72" i="3"/>
  <c r="O57" i="3"/>
  <c r="O55" i="3"/>
  <c r="O49" i="3"/>
  <c r="O74" i="3"/>
  <c r="O75" i="3"/>
  <c r="O48" i="3"/>
  <c r="AF48" i="3" s="1"/>
  <c r="O56" i="3"/>
  <c r="O6" i="3"/>
  <c r="O73" i="3"/>
  <c r="O33" i="3"/>
  <c r="O62" i="3"/>
  <c r="O60" i="3"/>
  <c r="O61" i="3"/>
  <c r="O32" i="3"/>
  <c r="O38" i="3"/>
  <c r="O36" i="3"/>
  <c r="AH36" i="3" s="1"/>
  <c r="E7" i="4" s="1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W16" i="3" l="1"/>
  <c r="AX16" i="3"/>
  <c r="AT16" i="3"/>
  <c r="AV16" i="3"/>
  <c r="AU16" i="3"/>
  <c r="AK6" i="3"/>
  <c r="AH6" i="3"/>
  <c r="E11" i="4" s="1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K15" i="4" s="1"/>
  <c r="AH75" i="3"/>
  <c r="AL73" i="3"/>
  <c r="AH72" i="3"/>
  <c r="E12" i="4" s="1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E18" i="4" s="1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E5" i="4" s="1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K8" i="4" s="1"/>
  <c r="AJ39" i="3"/>
  <c r="AM24" i="3"/>
  <c r="AN24" i="3"/>
  <c r="AF24" i="3"/>
  <c r="AH24" i="3"/>
  <c r="E13" i="4" s="1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E17" i="4" s="1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E20" i="4" s="1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K18" i="4" s="1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K7" i="4" s="1"/>
  <c r="AG20" i="3"/>
  <c r="AI19" i="3"/>
  <c r="AM20" i="3"/>
  <c r="AF21" i="3"/>
  <c r="AJ21" i="3"/>
  <c r="AN18" i="3"/>
  <c r="AH18" i="3"/>
  <c r="E8" i="4" s="1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K16" i="4" s="1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E6" i="4" s="1"/>
  <c r="AH33" i="3"/>
  <c r="AI33" i="3"/>
  <c r="AG33" i="3"/>
  <c r="AG32" i="3"/>
  <c r="AK31" i="3"/>
  <c r="AG31" i="3"/>
  <c r="AH31" i="3"/>
  <c r="E10" i="4" s="1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K5" i="4" s="1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E14" i="4" s="1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AT8" i="3" l="1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R16" i="3"/>
  <c r="AS16" i="3"/>
  <c r="AV9" i="3"/>
  <c r="AW9" i="3"/>
  <c r="AX9" i="3"/>
  <c r="AT9" i="3"/>
  <c r="AU9" i="3"/>
  <c r="AY16" i="3"/>
  <c r="O54" i="3"/>
  <c r="AY7" i="3" l="1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K10" i="4" s="1"/>
  <c r="AF55" i="3"/>
  <c r="AL57" i="3"/>
  <c r="AJ55" i="3"/>
  <c r="AG55" i="3"/>
  <c r="AN55" i="3"/>
  <c r="AH54" i="3"/>
  <c r="E9" i="4" s="1"/>
  <c r="AH56" i="3"/>
  <c r="AM55" i="3"/>
  <c r="AJ57" i="3"/>
  <c r="AG57" i="3"/>
  <c r="AJ56" i="3"/>
  <c r="AL54" i="3"/>
  <c r="AL56" i="3"/>
  <c r="AI54" i="3"/>
  <c r="AF56" i="3"/>
  <c r="AQ14" i="3" s="1"/>
  <c r="BA14" i="3" s="1"/>
  <c r="AU14" i="3" l="1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K19" i="4"/>
  <c r="K17" i="4"/>
  <c r="K14" i="4"/>
  <c r="K13" i="4"/>
  <c r="K12" i="4"/>
  <c r="K9" i="4"/>
  <c r="K11" i="4"/>
  <c r="K6" i="4"/>
  <c r="AQ39" i="3"/>
  <c r="AR39" i="3" s="1"/>
  <c r="P6" i="4" s="1"/>
  <c r="AR30" i="3"/>
  <c r="Q15" i="4" l="1"/>
  <c r="R15" i="4" s="1"/>
  <c r="Q14" i="4"/>
  <c r="R14" i="4" s="1"/>
  <c r="Q13" i="4"/>
  <c r="R13" i="4" s="1"/>
  <c r="Q12" i="4"/>
  <c r="R12" i="4" s="1"/>
  <c r="Q11" i="4"/>
  <c r="R11" i="4" s="1"/>
  <c r="Q10" i="4"/>
  <c r="R10" i="4" s="1"/>
  <c r="Q9" i="4"/>
  <c r="R9" i="4" s="1"/>
  <c r="Q8" i="4"/>
  <c r="R8" i="4" s="1"/>
</calcChain>
</file>

<file path=xl/sharedStrings.xml><?xml version="1.0" encoding="utf-8"?>
<sst xmlns="http://schemas.openxmlformats.org/spreadsheetml/2006/main" count="8985" uniqueCount="211">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</sst>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4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</cellXfs>
  <cellStyles count="2">
    <cellStyle name="Hiperlink" xfId="1" builtinId="8"/>
    <cellStyle name="Normal" xfId="0" builtinId="0"/>
  </cellStyles>
  <dxfs count="91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8.png"/><Relationship Id="rId18" Type="http://schemas.openxmlformats.org/officeDocument/2006/relationships/image" Target="../media/image33.png"/><Relationship Id="rId26" Type="http://schemas.openxmlformats.org/officeDocument/2006/relationships/image" Target="../media/image41.png"/><Relationship Id="rId39" Type="http://schemas.openxmlformats.org/officeDocument/2006/relationships/image" Target="../media/image54.jpeg"/><Relationship Id="rId21" Type="http://schemas.openxmlformats.org/officeDocument/2006/relationships/image" Target="../media/image36.png"/><Relationship Id="rId34" Type="http://schemas.openxmlformats.org/officeDocument/2006/relationships/image" Target="../media/image49.png"/><Relationship Id="rId42" Type="http://schemas.openxmlformats.org/officeDocument/2006/relationships/image" Target="../media/image57.jpeg"/><Relationship Id="rId47" Type="http://schemas.openxmlformats.org/officeDocument/2006/relationships/image" Target="../media/image62.png"/><Relationship Id="rId50" Type="http://schemas.openxmlformats.org/officeDocument/2006/relationships/image" Target="../media/image65.gif"/><Relationship Id="rId55" Type="http://schemas.microsoft.com/office/2007/relationships/hdphoto" Target="../media/hdphoto2.wdp"/><Relationship Id="rId7" Type="http://schemas.openxmlformats.org/officeDocument/2006/relationships/image" Target="../media/image22.jpeg"/><Relationship Id="rId2" Type="http://schemas.openxmlformats.org/officeDocument/2006/relationships/image" Target="../media/image17.png"/><Relationship Id="rId16" Type="http://schemas.openxmlformats.org/officeDocument/2006/relationships/image" Target="../media/image31.jpeg"/><Relationship Id="rId29" Type="http://schemas.openxmlformats.org/officeDocument/2006/relationships/image" Target="../media/image44.png"/><Relationship Id="rId11" Type="http://schemas.openxmlformats.org/officeDocument/2006/relationships/image" Target="../media/image26.png"/><Relationship Id="rId24" Type="http://schemas.openxmlformats.org/officeDocument/2006/relationships/image" Target="../media/image39.png"/><Relationship Id="rId32" Type="http://schemas.openxmlformats.org/officeDocument/2006/relationships/image" Target="../media/image47.png"/><Relationship Id="rId37" Type="http://schemas.openxmlformats.org/officeDocument/2006/relationships/image" Target="../media/image52.png"/><Relationship Id="rId40" Type="http://schemas.openxmlformats.org/officeDocument/2006/relationships/image" Target="../media/image55.jpeg"/><Relationship Id="rId45" Type="http://schemas.openxmlformats.org/officeDocument/2006/relationships/image" Target="../media/image60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0.png"/><Relationship Id="rId61" Type="http://schemas.microsoft.com/office/2007/relationships/hdphoto" Target="../media/hdphoto5.wdp"/><Relationship Id="rId19" Type="http://schemas.openxmlformats.org/officeDocument/2006/relationships/image" Target="../media/image34.png"/><Relationship Id="rId14" Type="http://schemas.openxmlformats.org/officeDocument/2006/relationships/image" Target="../media/image29.png"/><Relationship Id="rId22" Type="http://schemas.openxmlformats.org/officeDocument/2006/relationships/image" Target="../media/image37.png"/><Relationship Id="rId27" Type="http://schemas.openxmlformats.org/officeDocument/2006/relationships/image" Target="../media/image42.png"/><Relationship Id="rId30" Type="http://schemas.openxmlformats.org/officeDocument/2006/relationships/image" Target="../media/image45.png"/><Relationship Id="rId35" Type="http://schemas.openxmlformats.org/officeDocument/2006/relationships/image" Target="../media/image50.jpeg"/><Relationship Id="rId43" Type="http://schemas.openxmlformats.org/officeDocument/2006/relationships/image" Target="../media/image58.png"/><Relationship Id="rId48" Type="http://schemas.openxmlformats.org/officeDocument/2006/relationships/image" Target="../media/image63.png"/><Relationship Id="rId56" Type="http://schemas.openxmlformats.org/officeDocument/2006/relationships/image" Target="../media/image7.png"/><Relationship Id="rId8" Type="http://schemas.openxmlformats.org/officeDocument/2006/relationships/image" Target="../media/image23.png"/><Relationship Id="rId51" Type="http://schemas.openxmlformats.org/officeDocument/2006/relationships/image" Target="../media/image66.jpeg"/><Relationship Id="rId3" Type="http://schemas.openxmlformats.org/officeDocument/2006/relationships/image" Target="../media/image18.png"/><Relationship Id="rId12" Type="http://schemas.openxmlformats.org/officeDocument/2006/relationships/image" Target="../media/image27.png"/><Relationship Id="rId17" Type="http://schemas.openxmlformats.org/officeDocument/2006/relationships/image" Target="../media/image32.jpeg"/><Relationship Id="rId25" Type="http://schemas.openxmlformats.org/officeDocument/2006/relationships/image" Target="../media/image40.png"/><Relationship Id="rId33" Type="http://schemas.openxmlformats.org/officeDocument/2006/relationships/image" Target="../media/image48.jpeg"/><Relationship Id="rId38" Type="http://schemas.openxmlformats.org/officeDocument/2006/relationships/image" Target="../media/image53.png"/><Relationship Id="rId46" Type="http://schemas.openxmlformats.org/officeDocument/2006/relationships/image" Target="../media/image61.png"/><Relationship Id="rId59" Type="http://schemas.microsoft.com/office/2007/relationships/hdphoto" Target="../media/hdphoto6.wdp"/><Relationship Id="rId20" Type="http://schemas.openxmlformats.org/officeDocument/2006/relationships/image" Target="../media/image35.png"/><Relationship Id="rId41" Type="http://schemas.openxmlformats.org/officeDocument/2006/relationships/image" Target="../media/image56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1.png"/><Relationship Id="rId15" Type="http://schemas.openxmlformats.org/officeDocument/2006/relationships/image" Target="../media/image30.png"/><Relationship Id="rId23" Type="http://schemas.openxmlformats.org/officeDocument/2006/relationships/image" Target="../media/image38.jpeg"/><Relationship Id="rId28" Type="http://schemas.openxmlformats.org/officeDocument/2006/relationships/image" Target="../media/image43.png"/><Relationship Id="rId36" Type="http://schemas.openxmlformats.org/officeDocument/2006/relationships/image" Target="../media/image51.png"/><Relationship Id="rId49" Type="http://schemas.openxmlformats.org/officeDocument/2006/relationships/image" Target="../media/image64.png"/><Relationship Id="rId57" Type="http://schemas.microsoft.com/office/2007/relationships/hdphoto" Target="../media/hdphoto4.wdp"/><Relationship Id="rId10" Type="http://schemas.openxmlformats.org/officeDocument/2006/relationships/image" Target="../media/image25.jpeg"/><Relationship Id="rId31" Type="http://schemas.openxmlformats.org/officeDocument/2006/relationships/image" Target="../media/image46.png"/><Relationship Id="rId44" Type="http://schemas.openxmlformats.org/officeDocument/2006/relationships/image" Target="../media/image59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90" dataDxfId="89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8"/>
    <tableColumn id="2" xr3:uid="{8927B163-5C71-4390-8413-1CB7AFCDC479}" name="Times" dataDxfId="87"/>
    <tableColumn id="3" xr3:uid="{95E8A229-CD3E-4FE0-BC0B-3E68BBDC2143}" name="  " dataDxfId="86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tabSelected="1" zoomScaleNormal="100" workbookViewId="0">
      <selection activeCell="H16" sqref="H16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1" t="s">
        <v>81</v>
      </c>
      <c r="K31" s="181"/>
      <c r="L31" s="181"/>
    </row>
    <row r="32" spans="3:15" ht="18.75" x14ac:dyDescent="0.3">
      <c r="I32" s="179" t="s">
        <v>207</v>
      </c>
      <c r="J32" s="182" t="s">
        <v>82</v>
      </c>
      <c r="K32" s="182"/>
      <c r="L32" s="182"/>
    </row>
    <row r="33" spans="9:12" ht="15.75" x14ac:dyDescent="0.25">
      <c r="I33" s="180" t="s">
        <v>208</v>
      </c>
      <c r="J33" s="183" t="s">
        <v>83</v>
      </c>
      <c r="K33" s="183"/>
      <c r="L33" s="183"/>
    </row>
  </sheetData>
  <sheetProtection algorithmName="SHA-512" hashValue="dle47BlCi5tsiQ7XfD/bmh4R3lXfrZDO2pxxvBb12fIJrpAerNcJb4tExM3y1onUI4ywzBW2zZoPHa6O5bD0eA==" saltValue="OBU2m1ZQzf8E9jKXKznlVg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85" priority="2" operator="equal">
      <formula>"Brasil"</formula>
    </cfRule>
  </conditionalFormatting>
  <conditionalFormatting sqref="J31:L33">
    <cfRule type="expression" dxfId="84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H16" sqref="H16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workbookViewId="0">
      <selection activeCell="F4" sqref="F4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40" width="3.7109375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84" t="s">
        <v>18</v>
      </c>
      <c r="G3" s="184"/>
      <c r="H3" s="184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/>
      <c r="G4" s="84" t="s">
        <v>22</v>
      </c>
      <c r="H4" s="123"/>
      <c r="I4" s="107" t="str">
        <f>P7</f>
        <v>África do Sul</v>
      </c>
      <c r="J4" s="38" t="str">
        <f t="shared" ref="J4:J35" si="0">IF(F4=H4,"empate",IF(F4&gt;H4,E4,I4))</f>
        <v>empate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empate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/>
      <c r="G5" s="84" t="s">
        <v>22</v>
      </c>
      <c r="H5" s="123"/>
      <c r="I5" s="107" t="str">
        <f>P9</f>
        <v>República Tcheca</v>
      </c>
      <c r="J5" s="38" t="str">
        <f t="shared" si="0"/>
        <v>empate</v>
      </c>
      <c r="K5" s="38" t="str">
        <f t="shared" si="1"/>
        <v/>
      </c>
      <c r="L5" s="38" t="str">
        <f t="shared" si="2"/>
        <v/>
      </c>
      <c r="M5" s="39" t="str">
        <f t="shared" si="3"/>
        <v>empate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/>
      <c r="G6" s="84" t="s">
        <v>22</v>
      </c>
      <c r="H6" s="123"/>
      <c r="I6" s="107" t="str">
        <f>P8</f>
        <v>Coreia do Sul</v>
      </c>
      <c r="J6" s="38" t="str">
        <f t="shared" si="0"/>
        <v>empate</v>
      </c>
      <c r="K6" s="38" t="str">
        <f t="shared" si="1"/>
        <v/>
      </c>
      <c r="L6" s="38" t="str">
        <f t="shared" si="2"/>
        <v/>
      </c>
      <c r="M6" s="39" t="str">
        <f t="shared" si="3"/>
        <v>empate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0</v>
      </c>
      <c r="R6" s="38">
        <f>SUM(S6:U6)</f>
        <v>0</v>
      </c>
      <c r="S6" s="38">
        <f>COUNTIF(J:J,P6)</f>
        <v>0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0</v>
      </c>
      <c r="W6" s="38">
        <f>SUMIF(E:E,P6,H:H)+SUMIF(I:I,P6,F:F)</f>
        <v>0</v>
      </c>
      <c r="X6" s="38">
        <f>V6-W6</f>
        <v>0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0</v>
      </c>
      <c r="AH6" s="84">
        <f>VLOOKUP($AE6,$O$6:$X$9,4,FALSE)</f>
        <v>0</v>
      </c>
      <c r="AI6" s="84">
        <f>VLOOKUP($AE6,$O$6:$X$9,5,FALSE)</f>
        <v>0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0</v>
      </c>
      <c r="AM6" s="84">
        <f>VLOOKUP($AE6,$O$6:$X$9,9,FALSE)</f>
        <v>0</v>
      </c>
      <c r="AN6" s="85">
        <f>VLOOKUP($AE6,$O$6:$X$9,10,FALSE)</f>
        <v>0</v>
      </c>
      <c r="AP6" s="48">
        <f t="shared" ref="AP6:AP17" si="4">RANK(AR6,$AR$6:$AR$17)+SUM(BB6:BE6)</f>
        <v>1</v>
      </c>
      <c r="AQ6" s="50" t="str">
        <f>AF8</f>
        <v>Coreia do Sul</v>
      </c>
      <c r="AR6" s="38">
        <f>(AT6*3)+(AU6*1)</f>
        <v>0</v>
      </c>
      <c r="AS6" s="38">
        <f>SUM(AT6:AV6)</f>
        <v>0</v>
      </c>
      <c r="AT6" s="38">
        <f t="shared" ref="AT6:AT17" si="5">VLOOKUP(AQ6,$P$5:$X$75,4,FALSE)</f>
        <v>0</v>
      </c>
      <c r="AU6" s="38">
        <f t="shared" ref="AU6:AU17" si="6">VLOOKUP(AQ6,$P$5:$X$75,5,FALSE)</f>
        <v>0</v>
      </c>
      <c r="AV6" s="38">
        <f t="shared" ref="AV6:AV17" si="7">VLOOKUP(AQ6,$P$5:$X$75,6,FALSE)</f>
        <v>0</v>
      </c>
      <c r="AW6" s="38">
        <f t="shared" ref="AW6:AW17" si="8">VLOOKUP(AQ6,$P$5:$X$75,7,FALSE)</f>
        <v>0</v>
      </c>
      <c r="AX6" s="38">
        <f t="shared" ref="AX6:AX17" si="9">VLOOKUP(AQ6,$P$5:$X$75,8,FALSE)</f>
        <v>0</v>
      </c>
      <c r="AY6" s="38">
        <f>AW6-AX6</f>
        <v>0</v>
      </c>
      <c r="AZ6" s="38" t="s">
        <v>20</v>
      </c>
      <c r="BA6" s="38" t="str">
        <f>AQ6</f>
        <v>Coreia do Sul</v>
      </c>
      <c r="BB6" s="38">
        <f t="shared" ref="BB6:BB17" si="10">SUMPRODUCT(($AR$6:$AR$17=AR6)*($AY$6:$AY$17&gt;AY6))</f>
        <v>0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Coreia do Sul</v>
      </c>
      <c r="BK6" s="84">
        <f t="shared" ref="BK6:BK17" si="15">VLOOKUP($BI6,$AP$6:$AY$17,3,FALSE)</f>
        <v>0</v>
      </c>
      <c r="BL6" s="84">
        <f t="shared" ref="BL6:BL17" si="16">VLOOKUP($BI6,$AP$6:$AY$17,4,FALSE)</f>
        <v>0</v>
      </c>
      <c r="BM6" s="84">
        <f t="shared" ref="BM6:BM17" si="17">VLOOKUP($BI6,$AP$6:$AY$17,5,FALSE)</f>
        <v>0</v>
      </c>
      <c r="BN6" s="84">
        <f t="shared" ref="BN6:BN17" si="18">VLOOKUP($BI6,$AP$6:$AY$17,6,FALSE)</f>
        <v>0</v>
      </c>
      <c r="BO6" s="84">
        <f t="shared" ref="BO6:BO17" si="19">VLOOKUP($BI6,$AP$6:$AY$17,7,FALSE)</f>
        <v>0</v>
      </c>
      <c r="BP6" s="84">
        <f t="shared" ref="BP6:BP17" si="20">VLOOKUP($BI6,$AP$6:$AY$17,8,FALSE)</f>
        <v>0</v>
      </c>
      <c r="BQ6" s="84">
        <f t="shared" ref="BQ6:BQ17" si="21">VLOOKUP($BI6,$AP$6:$AY$17,9,FALSE)</f>
        <v>0</v>
      </c>
      <c r="BR6" s="85">
        <f t="shared" ref="BR6:BR17" si="22">VLOOKUP($BI6,$AP$6:$AY$17,10,FALSE)</f>
        <v>0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/>
      <c r="G7" s="84" t="s">
        <v>22</v>
      </c>
      <c r="H7" s="123"/>
      <c r="I7" s="107" t="str">
        <f>P7</f>
        <v>África do Sul</v>
      </c>
      <c r="J7" s="38" t="str">
        <f t="shared" si="0"/>
        <v>empate</v>
      </c>
      <c r="K7" s="38" t="str">
        <f t="shared" si="1"/>
        <v/>
      </c>
      <c r="L7" s="38" t="str">
        <f t="shared" si="2"/>
        <v/>
      </c>
      <c r="M7" s="39" t="str">
        <f t="shared" si="3"/>
        <v>empate</v>
      </c>
      <c r="N7" s="46"/>
      <c r="O7" s="47">
        <f>RANK(Q7,$Q$6:$Q$9)+SUM(Y7:AB7)</f>
        <v>2</v>
      </c>
      <c r="P7" s="49" t="str">
        <f>Sorteios!C7</f>
        <v>África do Sul</v>
      </c>
      <c r="Q7" s="38">
        <f t="shared" ref="Q7:Q9" si="23">(S7*3)+(T7*1)</f>
        <v>0</v>
      </c>
      <c r="R7" s="38">
        <f t="shared" ref="R7:R9" si="24">SUM(S7:U7)</f>
        <v>0</v>
      </c>
      <c r="S7" s="38">
        <f>COUNTIF(J:J,P7)</f>
        <v>0</v>
      </c>
      <c r="T7" s="38">
        <f>COUNTIF(K:K,P7)+COUNTIF(L:L,P7)</f>
        <v>0</v>
      </c>
      <c r="U7" s="38">
        <f>COUNTIF(M:M,P7)</f>
        <v>0</v>
      </c>
      <c r="V7" s="38">
        <f>SUMIF(E:E,P7,F:F)+SUMIF(I:I,P7,H:H)</f>
        <v>0</v>
      </c>
      <c r="W7" s="38">
        <f>SUMIF(E:E,P7,H:H)+SUMIF(I:I,P7,F:F)</f>
        <v>0</v>
      </c>
      <c r="X7" s="38">
        <f t="shared" ref="X7:X9" si="25">V7-W7</f>
        <v>0</v>
      </c>
      <c r="Y7" s="38">
        <f>SUMPRODUCT(($Q$6:$Q$9=Q7)*($X$6:$X$9&gt;X7))</f>
        <v>0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1</v>
      </c>
      <c r="AC7" s="39">
        <v>2</v>
      </c>
      <c r="AD7" s="45"/>
      <c r="AE7" s="21">
        <v>2</v>
      </c>
      <c r="AF7" s="83" t="str">
        <f>VLOOKUP($AE7,$O$6:$X$9,2,FALSE)</f>
        <v>África do Sul</v>
      </c>
      <c r="AG7" s="84">
        <f>VLOOKUP($AE7,$O$6:$X$9,3,FALSE)</f>
        <v>0</v>
      </c>
      <c r="AH7" s="84">
        <f>VLOOKUP($AE7,$O$6:$X$9,4,FALSE)</f>
        <v>0</v>
      </c>
      <c r="AI7" s="84">
        <f>VLOOKUP($AE7,$O$6:$X$9,5,FALSE)</f>
        <v>0</v>
      </c>
      <c r="AJ7" s="84">
        <f>VLOOKUP($AE7,$O$6:$X$9,6,FALSE)</f>
        <v>0</v>
      </c>
      <c r="AK7" s="84">
        <f>VLOOKUP($AE7,$O$6:$X$9,7,FALSE)</f>
        <v>0</v>
      </c>
      <c r="AL7" s="84">
        <f>VLOOKUP($AE7,$O$6:$X$9,8,FALSE)</f>
        <v>0</v>
      </c>
      <c r="AM7" s="84">
        <f>VLOOKUP($AE7,$O$6:$X$9,9,FALSE)</f>
        <v>0</v>
      </c>
      <c r="AN7" s="85">
        <f>VLOOKUP($AE7,$O$6:$X$9,10,FALSE)</f>
        <v>0</v>
      </c>
      <c r="AP7" s="48">
        <f t="shared" si="4"/>
        <v>2</v>
      </c>
      <c r="AQ7" s="50" t="str">
        <f>AF14</f>
        <v>Qatar</v>
      </c>
      <c r="AR7" s="38">
        <f t="shared" ref="AR7:AR17" si="26">(AT7*3)+(AU7*1)</f>
        <v>0</v>
      </c>
      <c r="AS7" s="38">
        <f t="shared" ref="AS7:AS17" si="27">SUM(AT7:AV7)</f>
        <v>0</v>
      </c>
      <c r="AT7" s="38">
        <f t="shared" si="5"/>
        <v>0</v>
      </c>
      <c r="AU7" s="38">
        <f t="shared" si="6"/>
        <v>0</v>
      </c>
      <c r="AV7" s="38">
        <f t="shared" si="7"/>
        <v>0</v>
      </c>
      <c r="AW7" s="38">
        <f t="shared" si="8"/>
        <v>0</v>
      </c>
      <c r="AX7" s="38">
        <f t="shared" si="9"/>
        <v>0</v>
      </c>
      <c r="AY7" s="38">
        <f t="shared" ref="AY7:AY17" si="28">AW7-AX7</f>
        <v>0</v>
      </c>
      <c r="AZ7" s="38" t="s">
        <v>48</v>
      </c>
      <c r="BA7" s="38" t="str">
        <f t="shared" ref="BA7:BA17" si="29">AQ7</f>
        <v>Qatar</v>
      </c>
      <c r="BB7" s="38">
        <f t="shared" si="10"/>
        <v>0</v>
      </c>
      <c r="BC7" s="38">
        <f t="shared" si="11"/>
        <v>0</v>
      </c>
      <c r="BD7" s="38">
        <f t="shared" si="12"/>
        <v>0</v>
      </c>
      <c r="BE7" s="38">
        <f t="shared" si="13"/>
        <v>1</v>
      </c>
      <c r="BF7" s="39">
        <v>2</v>
      </c>
      <c r="BG7" s="45"/>
      <c r="BI7" s="21">
        <v>2</v>
      </c>
      <c r="BJ7" s="83" t="str">
        <f t="shared" si="14"/>
        <v>Qatar</v>
      </c>
      <c r="BK7" s="84">
        <f t="shared" si="15"/>
        <v>0</v>
      </c>
      <c r="BL7" s="84">
        <f t="shared" si="16"/>
        <v>0</v>
      </c>
      <c r="BM7" s="84">
        <f t="shared" si="17"/>
        <v>0</v>
      </c>
      <c r="BN7" s="84">
        <f t="shared" si="18"/>
        <v>0</v>
      </c>
      <c r="BO7" s="84">
        <f t="shared" si="19"/>
        <v>0</v>
      </c>
      <c r="BP7" s="84">
        <f t="shared" si="20"/>
        <v>0</v>
      </c>
      <c r="BQ7" s="84">
        <f t="shared" si="21"/>
        <v>0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/>
      <c r="G8" s="84" t="s">
        <v>22</v>
      </c>
      <c r="H8" s="123"/>
      <c r="I8" s="107" t="str">
        <f>P6</f>
        <v>México</v>
      </c>
      <c r="J8" s="38" t="str">
        <f t="shared" si="0"/>
        <v>empate</v>
      </c>
      <c r="K8" s="38" t="str">
        <f t="shared" si="1"/>
        <v/>
      </c>
      <c r="L8" s="38" t="str">
        <f t="shared" si="2"/>
        <v/>
      </c>
      <c r="M8" s="39" t="str">
        <f t="shared" si="3"/>
        <v>empate</v>
      </c>
      <c r="N8" s="46"/>
      <c r="O8" s="47">
        <f>RANK(Q8,$Q$6:$Q$9)+SUM(Y8:AB8)</f>
        <v>3</v>
      </c>
      <c r="P8" s="49" t="str">
        <f>Sorteios!C8</f>
        <v>Coreia do Sul</v>
      </c>
      <c r="Q8" s="38">
        <f t="shared" si="23"/>
        <v>0</v>
      </c>
      <c r="R8" s="38">
        <f t="shared" si="24"/>
        <v>0</v>
      </c>
      <c r="S8" s="38">
        <f>COUNTIF(J:J,P8)</f>
        <v>0</v>
      </c>
      <c r="T8" s="38">
        <f>COUNTIF(K:K,P8)+COUNTIF(L:L,P8)</f>
        <v>0</v>
      </c>
      <c r="U8" s="38">
        <f>COUNTIF(M:M,P8)</f>
        <v>0</v>
      </c>
      <c r="V8" s="38">
        <f>SUMIF(E:E,P8,F:F)+SUMIF(I:I,P8,H:H)</f>
        <v>0</v>
      </c>
      <c r="W8" s="38">
        <f>SUMIF(E:E,P8,H:H)+SUMIF(I:I,P8,F:F)</f>
        <v>0</v>
      </c>
      <c r="X8" s="38">
        <f t="shared" si="25"/>
        <v>0</v>
      </c>
      <c r="Y8" s="38">
        <f>SUMPRODUCT(($Q$6:$Q$9=Q8)*($X$6:$X$9&gt;X8))</f>
        <v>0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2</v>
      </c>
      <c r="AC8" s="39">
        <v>3</v>
      </c>
      <c r="AD8" s="45"/>
      <c r="AE8" s="21">
        <v>3</v>
      </c>
      <c r="AF8" s="83" t="str">
        <f>VLOOKUP($AE8,$O$6:$X$9,2,FALSE)</f>
        <v>Coreia do Sul</v>
      </c>
      <c r="AG8" s="84">
        <f>VLOOKUP($AE8,$O$6:$X$9,3,FALSE)</f>
        <v>0</v>
      </c>
      <c r="AH8" s="84">
        <f>VLOOKUP($AE8,$O$6:$X$9,4,FALSE)</f>
        <v>0</v>
      </c>
      <c r="AI8" s="84">
        <f>VLOOKUP($AE8,$O$6:$X$9,5,FALSE)</f>
        <v>0</v>
      </c>
      <c r="AJ8" s="84">
        <f>VLOOKUP($AE8,$O$6:$X$9,6,FALSE)</f>
        <v>0</v>
      </c>
      <c r="AK8" s="84">
        <f>VLOOKUP($AE8,$O$6:$X$9,7,FALSE)</f>
        <v>0</v>
      </c>
      <c r="AL8" s="84">
        <f>VLOOKUP($AE8,$O$6:$X$9,8,FALSE)</f>
        <v>0</v>
      </c>
      <c r="AM8" s="84">
        <f>VLOOKUP($AE8,$O$6:$X$9,9,FALSE)</f>
        <v>0</v>
      </c>
      <c r="AN8" s="85">
        <f>VLOOKUP($AE8,$O$6:$X$9,10,FALSE)</f>
        <v>0</v>
      </c>
      <c r="AP8" s="48">
        <f t="shared" si="4"/>
        <v>3</v>
      </c>
      <c r="AQ8" s="50" t="str">
        <f>AF20</f>
        <v>Haiti</v>
      </c>
      <c r="AR8" s="38">
        <f t="shared" si="26"/>
        <v>0</v>
      </c>
      <c r="AS8" s="38">
        <f t="shared" si="27"/>
        <v>0</v>
      </c>
      <c r="AT8" s="38">
        <f t="shared" si="5"/>
        <v>0</v>
      </c>
      <c r="AU8" s="38">
        <f t="shared" si="6"/>
        <v>0</v>
      </c>
      <c r="AV8" s="38">
        <f t="shared" si="7"/>
        <v>0</v>
      </c>
      <c r="AW8" s="38">
        <f t="shared" si="8"/>
        <v>0</v>
      </c>
      <c r="AX8" s="38">
        <f t="shared" si="9"/>
        <v>0</v>
      </c>
      <c r="AY8" s="38">
        <f t="shared" si="28"/>
        <v>0</v>
      </c>
      <c r="AZ8" s="38" t="s">
        <v>50</v>
      </c>
      <c r="BA8" s="38" t="str">
        <f t="shared" si="29"/>
        <v>Haiti</v>
      </c>
      <c r="BB8" s="38">
        <f t="shared" si="10"/>
        <v>0</v>
      </c>
      <c r="BC8" s="38">
        <f t="shared" si="11"/>
        <v>0</v>
      </c>
      <c r="BD8" s="38">
        <f t="shared" si="12"/>
        <v>0</v>
      </c>
      <c r="BE8" s="38">
        <f t="shared" si="13"/>
        <v>2</v>
      </c>
      <c r="BF8" s="39">
        <v>3</v>
      </c>
      <c r="BG8" s="45"/>
      <c r="BI8" s="21">
        <v>3</v>
      </c>
      <c r="BJ8" s="83" t="str">
        <f t="shared" si="14"/>
        <v>Haiti</v>
      </c>
      <c r="BK8" s="84">
        <f t="shared" si="15"/>
        <v>0</v>
      </c>
      <c r="BL8" s="84">
        <f t="shared" si="16"/>
        <v>0</v>
      </c>
      <c r="BM8" s="84">
        <f t="shared" si="17"/>
        <v>0</v>
      </c>
      <c r="BN8" s="84">
        <f t="shared" si="18"/>
        <v>0</v>
      </c>
      <c r="BO8" s="84">
        <f t="shared" si="19"/>
        <v>0</v>
      </c>
      <c r="BP8" s="84">
        <f t="shared" si="20"/>
        <v>0</v>
      </c>
      <c r="BQ8" s="84">
        <f t="shared" si="21"/>
        <v>0</v>
      </c>
      <c r="BR8" s="85">
        <f t="shared" si="22"/>
        <v>0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/>
      <c r="G9" s="87" t="s">
        <v>22</v>
      </c>
      <c r="H9" s="124"/>
      <c r="I9" s="109" t="str">
        <f>P8</f>
        <v>Coreia do Sul</v>
      </c>
      <c r="J9" s="53" t="str">
        <f t="shared" si="0"/>
        <v>empate</v>
      </c>
      <c r="K9" s="53" t="str">
        <f t="shared" si="1"/>
        <v/>
      </c>
      <c r="L9" s="53" t="str">
        <f t="shared" si="2"/>
        <v/>
      </c>
      <c r="M9" s="54" t="str">
        <f t="shared" si="3"/>
        <v>empate</v>
      </c>
      <c r="N9" s="55"/>
      <c r="O9" s="56">
        <f>RANK(Q9,$Q$6:$Q$9)+SUM(Y9:AB9)</f>
        <v>4</v>
      </c>
      <c r="P9" s="49" t="str">
        <f>Sorteios!C9</f>
        <v>República Tcheca</v>
      </c>
      <c r="Q9" s="38">
        <f t="shared" si="23"/>
        <v>0</v>
      </c>
      <c r="R9" s="38">
        <f t="shared" si="24"/>
        <v>0</v>
      </c>
      <c r="S9" s="38">
        <f>COUNTIF(J:J,P9)</f>
        <v>0</v>
      </c>
      <c r="T9" s="38">
        <f>COUNTIF(K:K,P9)+COUNTIF(L:L,P9)</f>
        <v>0</v>
      </c>
      <c r="U9" s="38">
        <f>COUNTIF(M:M,P9)</f>
        <v>0</v>
      </c>
      <c r="V9" s="38">
        <f>SUMIF(E:E,P9,F:F)+SUMIF(I:I,P9,H:H)</f>
        <v>0</v>
      </c>
      <c r="W9" s="38">
        <f>SUMIF(E:E,P9,H:H)+SUMIF(I:I,P9,F:F)</f>
        <v>0</v>
      </c>
      <c r="X9" s="38">
        <f t="shared" si="25"/>
        <v>0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3</v>
      </c>
      <c r="AC9" s="54">
        <v>4</v>
      </c>
      <c r="AD9" s="57"/>
      <c r="AE9" s="22">
        <v>4</v>
      </c>
      <c r="AF9" s="86" t="str">
        <f>VLOOKUP($AE9,$O$6:$X$9,2,FALSE)</f>
        <v>República Tcheca</v>
      </c>
      <c r="AG9" s="87">
        <f>VLOOKUP($AE9,$O$6:$X$9,3,FALSE)</f>
        <v>0</v>
      </c>
      <c r="AH9" s="87">
        <f>VLOOKUP($AE9,$O$6:$X$9,4,FALSE)</f>
        <v>0</v>
      </c>
      <c r="AI9" s="87">
        <f>VLOOKUP($AE9,$O$6:$X$9,5,FALSE)</f>
        <v>0</v>
      </c>
      <c r="AJ9" s="87">
        <f>VLOOKUP($AE9,$O$6:$X$9,6,FALSE)</f>
        <v>0</v>
      </c>
      <c r="AK9" s="87">
        <f>VLOOKUP($AE9,$O$6:$X$9,7,FALSE)</f>
        <v>0</v>
      </c>
      <c r="AL9" s="87">
        <f>VLOOKUP($AE9,$O$6:$X$9,8,FALSE)</f>
        <v>0</v>
      </c>
      <c r="AM9" s="87">
        <f>VLOOKUP($AE9,$O$6:$X$9,9,FALSE)</f>
        <v>0</v>
      </c>
      <c r="AN9" s="88">
        <f>VLOOKUP($AE9,$O$6:$X$9,10,FALSE)</f>
        <v>0</v>
      </c>
      <c r="AP9" s="48">
        <f t="shared" si="4"/>
        <v>4</v>
      </c>
      <c r="AQ9" s="50" t="str">
        <f>AF26</f>
        <v>Austrália</v>
      </c>
      <c r="AR9" s="38">
        <f t="shared" si="26"/>
        <v>0</v>
      </c>
      <c r="AS9" s="38">
        <f t="shared" si="27"/>
        <v>0</v>
      </c>
      <c r="AT9" s="38">
        <f t="shared" si="5"/>
        <v>0</v>
      </c>
      <c r="AU9" s="38">
        <f t="shared" si="6"/>
        <v>0</v>
      </c>
      <c r="AV9" s="38">
        <f t="shared" si="7"/>
        <v>0</v>
      </c>
      <c r="AW9" s="38">
        <f t="shared" si="8"/>
        <v>0</v>
      </c>
      <c r="AX9" s="38">
        <f t="shared" si="9"/>
        <v>0</v>
      </c>
      <c r="AY9" s="38">
        <f t="shared" si="28"/>
        <v>0</v>
      </c>
      <c r="AZ9" s="38" t="s">
        <v>45</v>
      </c>
      <c r="BA9" s="38" t="str">
        <f t="shared" si="29"/>
        <v>Austrália</v>
      </c>
      <c r="BB9" s="38">
        <f t="shared" si="10"/>
        <v>0</v>
      </c>
      <c r="BC9" s="38">
        <f t="shared" si="11"/>
        <v>0</v>
      </c>
      <c r="BD9" s="38">
        <f t="shared" si="12"/>
        <v>0</v>
      </c>
      <c r="BE9" s="38">
        <f t="shared" si="13"/>
        <v>3</v>
      </c>
      <c r="BF9" s="54">
        <v>4</v>
      </c>
      <c r="BG9" s="45"/>
      <c r="BI9" s="21">
        <v>4</v>
      </c>
      <c r="BJ9" s="83" t="str">
        <f t="shared" si="14"/>
        <v>Austrália</v>
      </c>
      <c r="BK9" s="84">
        <f t="shared" si="15"/>
        <v>0</v>
      </c>
      <c r="BL9" s="84">
        <f t="shared" si="16"/>
        <v>0</v>
      </c>
      <c r="BM9" s="84">
        <f t="shared" si="17"/>
        <v>0</v>
      </c>
      <c r="BN9" s="84">
        <f t="shared" si="18"/>
        <v>0</v>
      </c>
      <c r="BO9" s="84">
        <f t="shared" si="19"/>
        <v>0</v>
      </c>
      <c r="BP9" s="84">
        <f t="shared" si="20"/>
        <v>0</v>
      </c>
      <c r="BQ9" s="84">
        <f t="shared" si="21"/>
        <v>0</v>
      </c>
      <c r="BR9" s="85">
        <f t="shared" si="22"/>
        <v>0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/>
      <c r="G10" s="111" t="s">
        <v>22</v>
      </c>
      <c r="H10" s="125"/>
      <c r="I10" s="112" t="str">
        <f>P13</f>
        <v>Bósnia</v>
      </c>
      <c r="J10" s="59" t="str">
        <f t="shared" si="0"/>
        <v>empate</v>
      </c>
      <c r="K10" s="59" t="str">
        <f t="shared" si="1"/>
        <v/>
      </c>
      <c r="L10" s="59" t="str">
        <f t="shared" si="2"/>
        <v/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5</v>
      </c>
      <c r="AQ10" s="50" t="str">
        <f>AF32</f>
        <v>Costa do Marfim</v>
      </c>
      <c r="AR10" s="38">
        <f t="shared" si="26"/>
        <v>0</v>
      </c>
      <c r="AS10" s="38">
        <f t="shared" si="27"/>
        <v>0</v>
      </c>
      <c r="AT10" s="38">
        <f t="shared" si="5"/>
        <v>0</v>
      </c>
      <c r="AU10" s="38">
        <f t="shared" si="6"/>
        <v>0</v>
      </c>
      <c r="AV10" s="38">
        <f t="shared" si="7"/>
        <v>0</v>
      </c>
      <c r="AW10" s="38">
        <f t="shared" si="8"/>
        <v>0</v>
      </c>
      <c r="AX10" s="38">
        <f t="shared" si="9"/>
        <v>0</v>
      </c>
      <c r="AY10" s="38">
        <f t="shared" si="28"/>
        <v>0</v>
      </c>
      <c r="AZ10" s="38" t="s">
        <v>44</v>
      </c>
      <c r="BA10" s="38" t="str">
        <f t="shared" si="29"/>
        <v>Costa do Marfim</v>
      </c>
      <c r="BB10" s="38">
        <f t="shared" si="10"/>
        <v>0</v>
      </c>
      <c r="BC10" s="38">
        <f t="shared" si="11"/>
        <v>0</v>
      </c>
      <c r="BD10" s="38">
        <f t="shared" si="12"/>
        <v>0</v>
      </c>
      <c r="BE10" s="38">
        <f t="shared" si="13"/>
        <v>4</v>
      </c>
      <c r="BF10" s="39">
        <v>5</v>
      </c>
      <c r="BG10" s="45"/>
      <c r="BI10" s="21">
        <v>5</v>
      </c>
      <c r="BJ10" s="83" t="str">
        <f t="shared" si="14"/>
        <v>Costa do Marfim</v>
      </c>
      <c r="BK10" s="84">
        <f t="shared" si="15"/>
        <v>0</v>
      </c>
      <c r="BL10" s="84">
        <f t="shared" si="16"/>
        <v>0</v>
      </c>
      <c r="BM10" s="84">
        <f t="shared" si="17"/>
        <v>0</v>
      </c>
      <c r="BN10" s="84">
        <f t="shared" si="18"/>
        <v>0</v>
      </c>
      <c r="BO10" s="84">
        <f t="shared" si="19"/>
        <v>0</v>
      </c>
      <c r="BP10" s="84">
        <f t="shared" si="20"/>
        <v>0</v>
      </c>
      <c r="BQ10" s="84">
        <f t="shared" si="21"/>
        <v>0</v>
      </c>
      <c r="BR10" s="85">
        <f t="shared" si="22"/>
        <v>0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/>
      <c r="G11" s="84" t="s">
        <v>22</v>
      </c>
      <c r="H11" s="123"/>
      <c r="I11" s="113" t="str">
        <f>P15</f>
        <v>Suiça</v>
      </c>
      <c r="J11" s="38" t="str">
        <f t="shared" si="0"/>
        <v>empate</v>
      </c>
      <c r="K11" s="38" t="str">
        <f t="shared" si="1"/>
        <v/>
      </c>
      <c r="L11" s="38" t="str">
        <f t="shared" si="2"/>
        <v/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6</v>
      </c>
      <c r="AQ11" s="50" t="str">
        <f>AF38</f>
        <v>Suécia</v>
      </c>
      <c r="AR11" s="38">
        <f t="shared" si="26"/>
        <v>0</v>
      </c>
      <c r="AS11" s="38">
        <f t="shared" si="27"/>
        <v>0</v>
      </c>
      <c r="AT11" s="38">
        <f t="shared" si="5"/>
        <v>0</v>
      </c>
      <c r="AU11" s="38">
        <f t="shared" si="6"/>
        <v>0</v>
      </c>
      <c r="AV11" s="38">
        <f t="shared" si="7"/>
        <v>0</v>
      </c>
      <c r="AW11" s="38">
        <f t="shared" si="8"/>
        <v>0</v>
      </c>
      <c r="AX11" s="38">
        <f t="shared" si="9"/>
        <v>0</v>
      </c>
      <c r="AY11" s="38">
        <f t="shared" si="28"/>
        <v>0</v>
      </c>
      <c r="AZ11" s="38" t="s">
        <v>58</v>
      </c>
      <c r="BA11" s="38" t="str">
        <f t="shared" si="29"/>
        <v>Suécia</v>
      </c>
      <c r="BB11" s="38">
        <f t="shared" si="10"/>
        <v>0</v>
      </c>
      <c r="BC11" s="38">
        <f t="shared" si="11"/>
        <v>0</v>
      </c>
      <c r="BD11" s="38">
        <f t="shared" si="12"/>
        <v>0</v>
      </c>
      <c r="BE11" s="38">
        <f t="shared" si="13"/>
        <v>5</v>
      </c>
      <c r="BF11" s="39">
        <v>6</v>
      </c>
      <c r="BG11" s="45"/>
      <c r="BI11" s="21">
        <v>6</v>
      </c>
      <c r="BJ11" s="83" t="str">
        <f t="shared" si="14"/>
        <v>Suécia</v>
      </c>
      <c r="BK11" s="84">
        <f t="shared" si="15"/>
        <v>0</v>
      </c>
      <c r="BL11" s="84">
        <f t="shared" si="16"/>
        <v>0</v>
      </c>
      <c r="BM11" s="84">
        <f t="shared" si="17"/>
        <v>0</v>
      </c>
      <c r="BN11" s="84">
        <f t="shared" si="18"/>
        <v>0</v>
      </c>
      <c r="BO11" s="84">
        <f t="shared" si="19"/>
        <v>0</v>
      </c>
      <c r="BP11" s="84">
        <f t="shared" si="20"/>
        <v>0</v>
      </c>
      <c r="BQ11" s="84">
        <f t="shared" si="21"/>
        <v>0</v>
      </c>
      <c r="BR11" s="85">
        <f t="shared" si="22"/>
        <v>0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/>
      <c r="G12" s="84" t="s">
        <v>22</v>
      </c>
      <c r="H12" s="123"/>
      <c r="I12" s="113" t="str">
        <f>P14</f>
        <v>Qatar</v>
      </c>
      <c r="J12" s="38" t="str">
        <f t="shared" si="0"/>
        <v>empate</v>
      </c>
      <c r="K12" s="38" t="str">
        <f t="shared" si="1"/>
        <v/>
      </c>
      <c r="L12" s="38" t="str">
        <f t="shared" si="2"/>
        <v/>
      </c>
      <c r="M12" s="39" t="str">
        <f t="shared" si="3"/>
        <v>empate</v>
      </c>
      <c r="N12" s="46"/>
      <c r="O12" s="47">
        <f>RANK(Q12,$Q$12:$Q$15)+SUM(Y12:AB12)</f>
        <v>1</v>
      </c>
      <c r="P12" s="49" t="str">
        <f>Sorteios!F6</f>
        <v>Canadá</v>
      </c>
      <c r="Q12" s="38">
        <f>(S12*3)+(T12*1)</f>
        <v>0</v>
      </c>
      <c r="R12" s="38">
        <f>SUM(S12:U12)</f>
        <v>0</v>
      </c>
      <c r="S12" s="38">
        <f>COUNTIF(J:J,P12)</f>
        <v>0</v>
      </c>
      <c r="T12" s="38">
        <f>COUNTIF(K:K,P12)+COUNTIF(L:L,P12)</f>
        <v>0</v>
      </c>
      <c r="U12" s="38">
        <f>COUNTIF(M:M,P12)</f>
        <v>0</v>
      </c>
      <c r="V12" s="38">
        <f>SUMIF(E:E,P12,F:F)+SUMIF(I:I,P12,H:H)</f>
        <v>0</v>
      </c>
      <c r="W12" s="38">
        <f>SUMIF(E:E,P12,H:H)+SUMIF(I:I,P12,F:F)</f>
        <v>0</v>
      </c>
      <c r="X12" s="38">
        <f>V12-W12</f>
        <v>0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Canadá</v>
      </c>
      <c r="AG12" s="84">
        <f>VLOOKUP($AE12,$O$12:$X$15,3,FALSE)</f>
        <v>0</v>
      </c>
      <c r="AH12" s="84">
        <f>VLOOKUP($AE12,$O$12:$X$15,4,FALSE)</f>
        <v>0</v>
      </c>
      <c r="AI12" s="84">
        <f>VLOOKUP($AE12,$O$12:$X$15,5,FALSE)</f>
        <v>0</v>
      </c>
      <c r="AJ12" s="84">
        <f>VLOOKUP($AE12,$O$12:$X$15,6,FALSE)</f>
        <v>0</v>
      </c>
      <c r="AK12" s="84">
        <f>VLOOKUP($AE12,$O$12:$X$15,7,FALSE)</f>
        <v>0</v>
      </c>
      <c r="AL12" s="84">
        <f>VLOOKUP($AE12,$O$12:$X$15,8,FALSE)</f>
        <v>0</v>
      </c>
      <c r="AM12" s="84">
        <f>VLOOKUP($AE12,$O$12:$X$15,9,FALSE)</f>
        <v>0</v>
      </c>
      <c r="AN12" s="85">
        <f>VLOOKUP($AE12,$O$12:$X$15,10,FALSE)</f>
        <v>0</v>
      </c>
      <c r="AP12" s="48">
        <f t="shared" si="4"/>
        <v>7</v>
      </c>
      <c r="AQ12" s="50" t="str">
        <f>AF44</f>
        <v>Irã</v>
      </c>
      <c r="AR12" s="38">
        <f t="shared" si="26"/>
        <v>0</v>
      </c>
      <c r="AS12" s="38">
        <f t="shared" si="27"/>
        <v>0</v>
      </c>
      <c r="AT12" s="38">
        <f t="shared" si="5"/>
        <v>0</v>
      </c>
      <c r="AU12" s="38">
        <f t="shared" si="6"/>
        <v>0</v>
      </c>
      <c r="AV12" s="38">
        <f t="shared" si="7"/>
        <v>0</v>
      </c>
      <c r="AW12" s="38">
        <f t="shared" si="8"/>
        <v>0</v>
      </c>
      <c r="AX12" s="38">
        <f t="shared" si="9"/>
        <v>0</v>
      </c>
      <c r="AY12" s="38">
        <f t="shared" si="28"/>
        <v>0</v>
      </c>
      <c r="AZ12" s="38" t="s">
        <v>60</v>
      </c>
      <c r="BA12" s="38" t="str">
        <f t="shared" si="29"/>
        <v>Irã</v>
      </c>
      <c r="BB12" s="38">
        <f t="shared" si="10"/>
        <v>0</v>
      </c>
      <c r="BC12" s="38">
        <f t="shared" si="11"/>
        <v>0</v>
      </c>
      <c r="BD12" s="38">
        <f t="shared" si="12"/>
        <v>0</v>
      </c>
      <c r="BE12" s="38">
        <f t="shared" si="13"/>
        <v>6</v>
      </c>
      <c r="BF12" s="39">
        <v>7</v>
      </c>
      <c r="BG12" s="45"/>
      <c r="BI12" s="21">
        <v>7</v>
      </c>
      <c r="BJ12" s="83" t="str">
        <f t="shared" si="14"/>
        <v>Irã</v>
      </c>
      <c r="BK12" s="84">
        <f t="shared" si="15"/>
        <v>0</v>
      </c>
      <c r="BL12" s="84">
        <f t="shared" si="16"/>
        <v>0</v>
      </c>
      <c r="BM12" s="84">
        <f t="shared" si="17"/>
        <v>0</v>
      </c>
      <c r="BN12" s="84">
        <f t="shared" si="18"/>
        <v>0</v>
      </c>
      <c r="BO12" s="84">
        <f t="shared" si="19"/>
        <v>0</v>
      </c>
      <c r="BP12" s="84">
        <f t="shared" si="20"/>
        <v>0</v>
      </c>
      <c r="BQ12" s="84">
        <f t="shared" si="21"/>
        <v>0</v>
      </c>
      <c r="BR12" s="85">
        <f t="shared" si="22"/>
        <v>0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/>
      <c r="G13" s="84" t="s">
        <v>22</v>
      </c>
      <c r="H13" s="123"/>
      <c r="I13" s="113" t="str">
        <f>P13</f>
        <v>Bósnia</v>
      </c>
      <c r="J13" s="38" t="str">
        <f t="shared" si="0"/>
        <v>empate</v>
      </c>
      <c r="K13" s="38" t="str">
        <f t="shared" si="1"/>
        <v/>
      </c>
      <c r="L13" s="38" t="str">
        <f t="shared" si="2"/>
        <v/>
      </c>
      <c r="M13" s="39" t="str">
        <f t="shared" si="3"/>
        <v>empate</v>
      </c>
      <c r="N13" s="46"/>
      <c r="O13" s="47">
        <f>RANK(Q13,$Q$12:$Q$15)+SUM(Y13:AB13)</f>
        <v>2</v>
      </c>
      <c r="P13" s="49" t="str">
        <f>Sorteios!F7</f>
        <v>Bósnia</v>
      </c>
      <c r="Q13" s="38">
        <f t="shared" ref="Q13:Q15" si="30">(S13*3)+(T13*1)</f>
        <v>0</v>
      </c>
      <c r="R13" s="38">
        <f t="shared" ref="R13:R15" si="31">SUM(S13:U13)</f>
        <v>0</v>
      </c>
      <c r="S13" s="38">
        <f>COUNTIF(J:J,P13)</f>
        <v>0</v>
      </c>
      <c r="T13" s="38">
        <f>COUNTIF(K:K,P13)+COUNTIF(L:L,P13)</f>
        <v>0</v>
      </c>
      <c r="U13" s="38">
        <f>COUNTIF(M:M,P13)</f>
        <v>0</v>
      </c>
      <c r="V13" s="38">
        <f>SUMIF(E:E,P13,F:F)+SUMIF(I:I,P13,H:H)</f>
        <v>0</v>
      </c>
      <c r="W13" s="38">
        <f>SUMIF(E:E,P13,H:H)+SUMIF(I:I,P13,F:F)</f>
        <v>0</v>
      </c>
      <c r="X13" s="38">
        <f t="shared" ref="X13:X15" si="32">V13-W13</f>
        <v>0</v>
      </c>
      <c r="Y13" s="38">
        <f>SUMPRODUCT(($Q$12:$Q$15=Q13)*($X$12:$X$15&gt;X13))</f>
        <v>0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1</v>
      </c>
      <c r="AC13" s="39">
        <v>2</v>
      </c>
      <c r="AD13" s="45"/>
      <c r="AE13" s="21">
        <v>2</v>
      </c>
      <c r="AF13" s="83" t="str">
        <f>VLOOKUP($AE13,$O$12:$X$15,2,FALSE)</f>
        <v>Bósnia</v>
      </c>
      <c r="AG13" s="84">
        <f>VLOOKUP($AE13,$O$12:$X$15,3,FALSE)</f>
        <v>0</v>
      </c>
      <c r="AH13" s="84">
        <f>VLOOKUP($AE13,$O$12:$X$15,4,FALSE)</f>
        <v>0</v>
      </c>
      <c r="AI13" s="84">
        <f>VLOOKUP($AE13,$O$12:$X$15,5,FALSE)</f>
        <v>0</v>
      </c>
      <c r="AJ13" s="84">
        <f>VLOOKUP($AE13,$O$12:$X$15,6,FALSE)</f>
        <v>0</v>
      </c>
      <c r="AK13" s="84">
        <f>VLOOKUP($AE13,$O$12:$X$15,7,FALSE)</f>
        <v>0</v>
      </c>
      <c r="AL13" s="84">
        <f>VLOOKUP($AE13,$O$12:$X$15,8,FALSE)</f>
        <v>0</v>
      </c>
      <c r="AM13" s="84">
        <f>VLOOKUP($AE13,$O$12:$X$15,9,FALSE)</f>
        <v>0</v>
      </c>
      <c r="AN13" s="85">
        <f>VLOOKUP($AE13,$O$12:$X$15,10,FALSE)</f>
        <v>0</v>
      </c>
      <c r="AP13" s="48">
        <f t="shared" si="4"/>
        <v>8</v>
      </c>
      <c r="AQ13" s="50" t="str">
        <f>AF50</f>
        <v>Arábia Saudita</v>
      </c>
      <c r="AR13" s="38">
        <f t="shared" si="26"/>
        <v>0</v>
      </c>
      <c r="AS13" s="38">
        <f t="shared" si="27"/>
        <v>0</v>
      </c>
      <c r="AT13" s="38">
        <f t="shared" si="5"/>
        <v>0</v>
      </c>
      <c r="AU13" s="38">
        <f t="shared" si="6"/>
        <v>0</v>
      </c>
      <c r="AV13" s="38">
        <f t="shared" si="7"/>
        <v>0</v>
      </c>
      <c r="AW13" s="38">
        <f t="shared" si="8"/>
        <v>0</v>
      </c>
      <c r="AX13" s="38">
        <f t="shared" si="9"/>
        <v>0</v>
      </c>
      <c r="AY13" s="38">
        <f t="shared" si="28"/>
        <v>0</v>
      </c>
      <c r="AZ13" s="38" t="s">
        <v>62</v>
      </c>
      <c r="BA13" s="38" t="str">
        <f t="shared" si="29"/>
        <v>Arábia Saudita</v>
      </c>
      <c r="BB13" s="38">
        <f t="shared" si="10"/>
        <v>0</v>
      </c>
      <c r="BC13" s="38">
        <f t="shared" si="11"/>
        <v>0</v>
      </c>
      <c r="BD13" s="38">
        <f t="shared" si="12"/>
        <v>0</v>
      </c>
      <c r="BE13" s="38">
        <f t="shared" si="13"/>
        <v>7</v>
      </c>
      <c r="BF13" s="54">
        <v>8</v>
      </c>
      <c r="BG13" s="45"/>
      <c r="BI13" s="21">
        <v>8</v>
      </c>
      <c r="BJ13" s="83" t="str">
        <f t="shared" si="14"/>
        <v>Arábia Saudita</v>
      </c>
      <c r="BK13" s="84">
        <f t="shared" si="15"/>
        <v>0</v>
      </c>
      <c r="BL13" s="84">
        <f t="shared" si="16"/>
        <v>0</v>
      </c>
      <c r="BM13" s="84">
        <f t="shared" si="17"/>
        <v>0</v>
      </c>
      <c r="BN13" s="84">
        <f t="shared" si="18"/>
        <v>0</v>
      </c>
      <c r="BO13" s="84">
        <f t="shared" si="19"/>
        <v>0</v>
      </c>
      <c r="BP13" s="84">
        <f t="shared" si="20"/>
        <v>0</v>
      </c>
      <c r="BQ13" s="84">
        <f t="shared" si="21"/>
        <v>0</v>
      </c>
      <c r="BR13" s="85">
        <f t="shared" si="22"/>
        <v>0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/>
      <c r="G14" s="84" t="s">
        <v>22</v>
      </c>
      <c r="H14" s="123"/>
      <c r="I14" s="113" t="str">
        <f>P12</f>
        <v>Canadá</v>
      </c>
      <c r="J14" s="38" t="str">
        <f t="shared" si="0"/>
        <v>empate</v>
      </c>
      <c r="K14" s="38" t="str">
        <f t="shared" si="1"/>
        <v/>
      </c>
      <c r="L14" s="38" t="str">
        <f t="shared" si="2"/>
        <v/>
      </c>
      <c r="M14" s="39" t="str">
        <f t="shared" si="3"/>
        <v>empate</v>
      </c>
      <c r="N14" s="46"/>
      <c r="O14" s="47">
        <f>RANK(Q14,$Q$12:$Q$15)+SUM(Y14:AB14)</f>
        <v>3</v>
      </c>
      <c r="P14" s="49" t="str">
        <f>Sorteios!F8</f>
        <v>Qatar</v>
      </c>
      <c r="Q14" s="38">
        <f t="shared" si="30"/>
        <v>0</v>
      </c>
      <c r="R14" s="38">
        <f t="shared" si="31"/>
        <v>0</v>
      </c>
      <c r="S14" s="38">
        <f>COUNTIF(J:J,P14)</f>
        <v>0</v>
      </c>
      <c r="T14" s="38">
        <f>COUNTIF(K:K,P14)+COUNTIF(L:L,P14)</f>
        <v>0</v>
      </c>
      <c r="U14" s="38">
        <f>COUNTIF(M:M,P14)</f>
        <v>0</v>
      </c>
      <c r="V14" s="38">
        <f>SUMIF(E:E,P14,F:F)+SUMIF(I:I,P14,H:H)</f>
        <v>0</v>
      </c>
      <c r="W14" s="38">
        <f>SUMIF(E:E,P14,H:H)+SUMIF(I:I,P14,F:F)</f>
        <v>0</v>
      </c>
      <c r="X14" s="38">
        <f t="shared" si="32"/>
        <v>0</v>
      </c>
      <c r="Y14" s="38">
        <f>SUMPRODUCT(($Q$12:$Q$15=Q14)*($X$12:$X$15&gt;X14))</f>
        <v>0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2</v>
      </c>
      <c r="AC14" s="39">
        <v>3</v>
      </c>
      <c r="AD14" s="45"/>
      <c r="AE14" s="21">
        <v>3</v>
      </c>
      <c r="AF14" s="83" t="str">
        <f>VLOOKUP($AE14,$O$12:$X$15,2,FALSE)</f>
        <v>Qatar</v>
      </c>
      <c r="AG14" s="84">
        <f>VLOOKUP($AE14,$O$12:$X$15,3,FALSE)</f>
        <v>0</v>
      </c>
      <c r="AH14" s="84">
        <f>VLOOKUP($AE14,$O$12:$X$15,4,FALSE)</f>
        <v>0</v>
      </c>
      <c r="AI14" s="84">
        <f>VLOOKUP($AE14,$O$12:$X$15,5,FALSE)</f>
        <v>0</v>
      </c>
      <c r="AJ14" s="84">
        <f>VLOOKUP($AE14,$O$12:$X$15,6,FALSE)</f>
        <v>0</v>
      </c>
      <c r="AK14" s="84">
        <f>VLOOKUP($AE14,$O$12:$X$15,7,FALSE)</f>
        <v>0</v>
      </c>
      <c r="AL14" s="84">
        <f>VLOOKUP($AE14,$O$12:$X$15,8,FALSE)</f>
        <v>0</v>
      </c>
      <c r="AM14" s="84">
        <f>VLOOKUP($AE14,$O$12:$X$15,9,FALSE)</f>
        <v>0</v>
      </c>
      <c r="AN14" s="85">
        <f>VLOOKUP($AE14,$O$12:$X$15,10,FALSE)</f>
        <v>0</v>
      </c>
      <c r="AP14" s="48">
        <f t="shared" si="4"/>
        <v>9</v>
      </c>
      <c r="AQ14" s="50" t="str">
        <f>AF56</f>
        <v>Iraque</v>
      </c>
      <c r="AR14" s="38">
        <f t="shared" si="26"/>
        <v>0</v>
      </c>
      <c r="AS14" s="38">
        <f t="shared" si="27"/>
        <v>0</v>
      </c>
      <c r="AT14" s="38">
        <f t="shared" si="5"/>
        <v>0</v>
      </c>
      <c r="AU14" s="38">
        <f t="shared" si="6"/>
        <v>0</v>
      </c>
      <c r="AV14" s="38">
        <f t="shared" si="7"/>
        <v>0</v>
      </c>
      <c r="AW14" s="38">
        <f t="shared" si="8"/>
        <v>0</v>
      </c>
      <c r="AX14" s="38">
        <f t="shared" si="9"/>
        <v>0</v>
      </c>
      <c r="AY14" s="38">
        <f t="shared" si="28"/>
        <v>0</v>
      </c>
      <c r="AZ14" s="38" t="s">
        <v>69</v>
      </c>
      <c r="BA14" s="38" t="str">
        <f t="shared" si="29"/>
        <v>Iraque</v>
      </c>
      <c r="BB14" s="38">
        <f t="shared" si="10"/>
        <v>0</v>
      </c>
      <c r="BC14" s="38">
        <f t="shared" si="11"/>
        <v>0</v>
      </c>
      <c r="BD14" s="38">
        <f t="shared" si="12"/>
        <v>0</v>
      </c>
      <c r="BE14" s="38">
        <f t="shared" si="13"/>
        <v>8</v>
      </c>
      <c r="BF14" s="39">
        <v>9</v>
      </c>
      <c r="BG14" s="45"/>
      <c r="BI14" s="21">
        <v>9</v>
      </c>
      <c r="BJ14" s="83" t="str">
        <f t="shared" si="14"/>
        <v>Iraque</v>
      </c>
      <c r="BK14" s="84">
        <f t="shared" si="15"/>
        <v>0</v>
      </c>
      <c r="BL14" s="84">
        <f t="shared" si="16"/>
        <v>0</v>
      </c>
      <c r="BM14" s="84">
        <f t="shared" si="17"/>
        <v>0</v>
      </c>
      <c r="BN14" s="84">
        <f t="shared" si="18"/>
        <v>0</v>
      </c>
      <c r="BO14" s="84">
        <f t="shared" si="19"/>
        <v>0</v>
      </c>
      <c r="BP14" s="84">
        <f t="shared" si="20"/>
        <v>0</v>
      </c>
      <c r="BQ14" s="84">
        <f t="shared" si="21"/>
        <v>0</v>
      </c>
      <c r="BR14" s="85">
        <f t="shared" si="22"/>
        <v>0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/>
      <c r="G15" s="87" t="s">
        <v>22</v>
      </c>
      <c r="H15" s="124"/>
      <c r="I15" s="114" t="str">
        <f>P14</f>
        <v>Qatar</v>
      </c>
      <c r="J15" s="53" t="str">
        <f t="shared" si="0"/>
        <v>empate</v>
      </c>
      <c r="K15" s="53" t="str">
        <f t="shared" si="1"/>
        <v/>
      </c>
      <c r="L15" s="53" t="str">
        <f t="shared" si="2"/>
        <v/>
      </c>
      <c r="M15" s="54" t="str">
        <f t="shared" si="3"/>
        <v>empate</v>
      </c>
      <c r="N15" s="55"/>
      <c r="O15" s="56">
        <f>RANK(Q15,$Q$12:$Q$15)+SUM(Y15:AB15)</f>
        <v>4</v>
      </c>
      <c r="P15" s="49" t="str">
        <f>Sorteios!F9</f>
        <v>Suiça</v>
      </c>
      <c r="Q15" s="53">
        <f t="shared" si="30"/>
        <v>0</v>
      </c>
      <c r="R15" s="53">
        <f t="shared" si="31"/>
        <v>0</v>
      </c>
      <c r="S15" s="38">
        <f>COUNTIF(J:J,P15)</f>
        <v>0</v>
      </c>
      <c r="T15" s="38">
        <f>COUNTIF(K:K,P15)+COUNTIF(L:L,P15)</f>
        <v>0</v>
      </c>
      <c r="U15" s="38">
        <f>COUNTIF(M:M,P15)</f>
        <v>0</v>
      </c>
      <c r="V15" s="53">
        <f>SUMIF(E:E,P15,F:F)+SUMIF(I:I,P15,H:H)</f>
        <v>0</v>
      </c>
      <c r="W15" s="53">
        <f>SUMIF(E:E,P15,H:H)+SUMIF(I:I,P15,F:F)</f>
        <v>0</v>
      </c>
      <c r="X15" s="53">
        <f t="shared" si="32"/>
        <v>0</v>
      </c>
      <c r="Y15" s="53">
        <f>SUMPRODUCT(($Q$12:$Q$15=Q15)*($X$12:$X$15&gt;X15))</f>
        <v>0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3</v>
      </c>
      <c r="AC15" s="54">
        <v>4</v>
      </c>
      <c r="AD15" s="57"/>
      <c r="AE15" s="22">
        <v>4</v>
      </c>
      <c r="AF15" s="86" t="str">
        <f>VLOOKUP($AE15,$O$12:$X$15,2,FALSE)</f>
        <v>Suiça</v>
      </c>
      <c r="AG15" s="87">
        <f>VLOOKUP($AE15,$O$12:$X$15,3,FALSE)</f>
        <v>0</v>
      </c>
      <c r="AH15" s="87">
        <f>VLOOKUP($AE15,$O$12:$X$15,4,FALSE)</f>
        <v>0</v>
      </c>
      <c r="AI15" s="87">
        <f>VLOOKUP($AE15,$O$12:$X$15,5,FALSE)</f>
        <v>0</v>
      </c>
      <c r="AJ15" s="87">
        <f>VLOOKUP($AE15,$O$12:$X$15,6,FALSE)</f>
        <v>0</v>
      </c>
      <c r="AK15" s="87">
        <f>VLOOKUP($AE15,$O$12:$X$15,7,FALSE)</f>
        <v>0</v>
      </c>
      <c r="AL15" s="87">
        <f>VLOOKUP($AE15,$O$12:$X$15,8,FALSE)</f>
        <v>0</v>
      </c>
      <c r="AM15" s="87">
        <f>VLOOKUP($AE15,$O$12:$X$15,9,FALSE)</f>
        <v>0</v>
      </c>
      <c r="AN15" s="88">
        <f>VLOOKUP($AE15,$O$12:$X$15,10,FALSE)</f>
        <v>0</v>
      </c>
      <c r="AP15" s="48">
        <f t="shared" si="4"/>
        <v>10</v>
      </c>
      <c r="AQ15" s="50" t="str">
        <f>AF62</f>
        <v>Áustria</v>
      </c>
      <c r="AR15" s="38">
        <f t="shared" si="26"/>
        <v>0</v>
      </c>
      <c r="AS15" s="38">
        <f t="shared" si="27"/>
        <v>0</v>
      </c>
      <c r="AT15" s="38">
        <f t="shared" si="5"/>
        <v>0</v>
      </c>
      <c r="AU15" s="38">
        <f t="shared" si="6"/>
        <v>0</v>
      </c>
      <c r="AV15" s="38">
        <f t="shared" si="7"/>
        <v>0</v>
      </c>
      <c r="AW15" s="38">
        <f t="shared" si="8"/>
        <v>0</v>
      </c>
      <c r="AX15" s="38">
        <f t="shared" si="9"/>
        <v>0</v>
      </c>
      <c r="AY15" s="38">
        <f t="shared" si="28"/>
        <v>0</v>
      </c>
      <c r="AZ15" s="38" t="s">
        <v>42</v>
      </c>
      <c r="BA15" s="38" t="str">
        <f t="shared" si="29"/>
        <v>Áustria</v>
      </c>
      <c r="BB15" s="38">
        <f t="shared" si="10"/>
        <v>0</v>
      </c>
      <c r="BC15" s="38">
        <f t="shared" si="11"/>
        <v>0</v>
      </c>
      <c r="BD15" s="38">
        <f t="shared" si="12"/>
        <v>0</v>
      </c>
      <c r="BE15" s="38">
        <f t="shared" si="13"/>
        <v>9</v>
      </c>
      <c r="BF15" s="39">
        <v>10</v>
      </c>
      <c r="BG15" s="45"/>
      <c r="BI15" s="21">
        <v>10</v>
      </c>
      <c r="BJ15" s="83" t="str">
        <f t="shared" si="14"/>
        <v>Áustria</v>
      </c>
      <c r="BK15" s="84">
        <f t="shared" si="15"/>
        <v>0</v>
      </c>
      <c r="BL15" s="84">
        <f t="shared" si="16"/>
        <v>0</v>
      </c>
      <c r="BM15" s="84">
        <f t="shared" si="17"/>
        <v>0</v>
      </c>
      <c r="BN15" s="84">
        <f t="shared" si="18"/>
        <v>0</v>
      </c>
      <c r="BO15" s="84">
        <f t="shared" si="19"/>
        <v>0</v>
      </c>
      <c r="BP15" s="84">
        <f t="shared" si="20"/>
        <v>0</v>
      </c>
      <c r="BQ15" s="84">
        <f t="shared" si="21"/>
        <v>0</v>
      </c>
      <c r="BR15" s="85">
        <f t="shared" si="22"/>
        <v>0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/>
      <c r="G16" s="111" t="s">
        <v>22</v>
      </c>
      <c r="H16" s="125"/>
      <c r="I16" s="116" t="str">
        <f>P19</f>
        <v>Marrocos</v>
      </c>
      <c r="J16" s="59" t="str">
        <f t="shared" si="0"/>
        <v>empate</v>
      </c>
      <c r="K16" s="59" t="str">
        <f t="shared" si="1"/>
        <v/>
      </c>
      <c r="L16" s="59" t="str">
        <f t="shared" si="2"/>
        <v/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11</v>
      </c>
      <c r="AQ16" s="50" t="str">
        <f>AF68</f>
        <v>Uzbequistão</v>
      </c>
      <c r="AR16" s="38">
        <f t="shared" si="26"/>
        <v>0</v>
      </c>
      <c r="AS16" s="38">
        <f t="shared" si="27"/>
        <v>0</v>
      </c>
      <c r="AT16" s="38">
        <f t="shared" si="5"/>
        <v>0</v>
      </c>
      <c r="AU16" s="38">
        <f t="shared" si="6"/>
        <v>0</v>
      </c>
      <c r="AV16" s="38">
        <f t="shared" si="7"/>
        <v>0</v>
      </c>
      <c r="AW16" s="38">
        <f t="shared" si="8"/>
        <v>0</v>
      </c>
      <c r="AX16" s="38">
        <f t="shared" si="9"/>
        <v>0</v>
      </c>
      <c r="AY16" s="38">
        <f t="shared" si="28"/>
        <v>0</v>
      </c>
      <c r="AZ16" s="38" t="s">
        <v>70</v>
      </c>
      <c r="BA16" s="38" t="str">
        <f t="shared" si="29"/>
        <v>Uzbequistão</v>
      </c>
      <c r="BB16" s="38">
        <f t="shared" si="10"/>
        <v>0</v>
      </c>
      <c r="BC16" s="38">
        <f t="shared" si="11"/>
        <v>0</v>
      </c>
      <c r="BD16" s="38">
        <f t="shared" si="12"/>
        <v>0</v>
      </c>
      <c r="BE16" s="38">
        <f t="shared" si="13"/>
        <v>10</v>
      </c>
      <c r="BF16" s="39">
        <v>11</v>
      </c>
      <c r="BG16" s="45"/>
      <c r="BI16" s="21">
        <v>11</v>
      </c>
      <c r="BJ16" s="83" t="str">
        <f t="shared" si="14"/>
        <v>Uzbequistão</v>
      </c>
      <c r="BK16" s="84">
        <f t="shared" si="15"/>
        <v>0</v>
      </c>
      <c r="BL16" s="84">
        <f t="shared" si="16"/>
        <v>0</v>
      </c>
      <c r="BM16" s="84">
        <f t="shared" si="17"/>
        <v>0</v>
      </c>
      <c r="BN16" s="84">
        <f t="shared" si="18"/>
        <v>0</v>
      </c>
      <c r="BO16" s="84">
        <f t="shared" si="19"/>
        <v>0</v>
      </c>
      <c r="BP16" s="84">
        <f t="shared" si="20"/>
        <v>0</v>
      </c>
      <c r="BQ16" s="84">
        <f t="shared" si="21"/>
        <v>0</v>
      </c>
      <c r="BR16" s="85">
        <f t="shared" si="22"/>
        <v>0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/>
      <c r="G17" s="84" t="s">
        <v>22</v>
      </c>
      <c r="H17" s="123"/>
      <c r="I17" s="107" t="str">
        <f>P21</f>
        <v>Escócia</v>
      </c>
      <c r="J17" s="38" t="str">
        <f t="shared" si="0"/>
        <v>empate</v>
      </c>
      <c r="K17" s="38" t="str">
        <f t="shared" si="1"/>
        <v/>
      </c>
      <c r="L17" s="38" t="str">
        <f t="shared" si="2"/>
        <v/>
      </c>
      <c r="M17" s="39" t="str">
        <f t="shared" si="3"/>
        <v>empate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12</v>
      </c>
      <c r="AQ17" s="50" t="str">
        <f>AF74</f>
        <v>Gana</v>
      </c>
      <c r="AR17" s="38">
        <f t="shared" si="26"/>
        <v>0</v>
      </c>
      <c r="AS17" s="38">
        <f t="shared" si="27"/>
        <v>0</v>
      </c>
      <c r="AT17" s="38">
        <f t="shared" si="5"/>
        <v>0</v>
      </c>
      <c r="AU17" s="38">
        <f t="shared" si="6"/>
        <v>0</v>
      </c>
      <c r="AV17" s="38">
        <f t="shared" si="7"/>
        <v>0</v>
      </c>
      <c r="AW17" s="38">
        <f t="shared" si="8"/>
        <v>0</v>
      </c>
      <c r="AX17" s="38">
        <f t="shared" si="9"/>
        <v>0</v>
      </c>
      <c r="AY17" s="38">
        <f t="shared" si="28"/>
        <v>0</v>
      </c>
      <c r="AZ17" s="38" t="s">
        <v>71</v>
      </c>
      <c r="BA17" s="38" t="str">
        <f t="shared" si="29"/>
        <v>Gana</v>
      </c>
      <c r="BB17" s="38">
        <f t="shared" si="10"/>
        <v>0</v>
      </c>
      <c r="BC17" s="38">
        <f t="shared" si="11"/>
        <v>0</v>
      </c>
      <c r="BD17" s="38">
        <f t="shared" si="12"/>
        <v>0</v>
      </c>
      <c r="BE17" s="38">
        <f t="shared" si="13"/>
        <v>11</v>
      </c>
      <c r="BF17" s="54">
        <v>12</v>
      </c>
      <c r="BG17" s="45"/>
      <c r="BI17" s="22">
        <v>12</v>
      </c>
      <c r="BJ17" s="86" t="str">
        <f t="shared" si="14"/>
        <v>Gana</v>
      </c>
      <c r="BK17" s="87">
        <f t="shared" si="15"/>
        <v>0</v>
      </c>
      <c r="BL17" s="87">
        <f t="shared" si="16"/>
        <v>0</v>
      </c>
      <c r="BM17" s="87">
        <f t="shared" si="17"/>
        <v>0</v>
      </c>
      <c r="BN17" s="87">
        <f t="shared" si="18"/>
        <v>0</v>
      </c>
      <c r="BO17" s="87">
        <f t="shared" si="19"/>
        <v>0</v>
      </c>
      <c r="BP17" s="87">
        <f t="shared" si="20"/>
        <v>0</v>
      </c>
      <c r="BQ17" s="87">
        <f t="shared" si="21"/>
        <v>0</v>
      </c>
      <c r="BR17" s="88">
        <f t="shared" si="22"/>
        <v>0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/>
      <c r="G18" s="84" t="s">
        <v>22</v>
      </c>
      <c r="H18" s="123"/>
      <c r="I18" s="107" t="str">
        <f>P20</f>
        <v>Haiti</v>
      </c>
      <c r="J18" s="38" t="str">
        <f t="shared" si="0"/>
        <v>empate</v>
      </c>
      <c r="K18" s="38" t="str">
        <f t="shared" si="1"/>
        <v/>
      </c>
      <c r="L18" s="38" t="str">
        <f t="shared" si="2"/>
        <v/>
      </c>
      <c r="M18" s="39" t="str">
        <f t="shared" si="3"/>
        <v>empate</v>
      </c>
      <c r="N18" s="46"/>
      <c r="O18" s="47">
        <f>RANK(Q18,$Q$18:$Q$21)+SUM(Y18:AB18)</f>
        <v>1</v>
      </c>
      <c r="P18" s="49" t="str">
        <f>Sorteios!I6</f>
        <v>Brasil</v>
      </c>
      <c r="Q18" s="38">
        <f>(S18*3)+(T18*1)</f>
        <v>0</v>
      </c>
      <c r="R18" s="38">
        <f>SUM(S18:U18)</f>
        <v>0</v>
      </c>
      <c r="S18" s="38">
        <f>COUNTIF(J:J,P18)</f>
        <v>0</v>
      </c>
      <c r="T18" s="38">
        <f>COUNTIF(K:K,P18)+COUNTIF(L:L,P18)</f>
        <v>0</v>
      </c>
      <c r="U18" s="38">
        <f>COUNTIF(M:M,P18)</f>
        <v>0</v>
      </c>
      <c r="V18" s="38">
        <f>SUMIF(E:E,P18,F:F)+SUMIF(I:I,P18,H:H)</f>
        <v>0</v>
      </c>
      <c r="W18" s="38">
        <f>SUMIF(E:E,P18,H:H)+SUMIF(I:I,P18,F:F)</f>
        <v>0</v>
      </c>
      <c r="X18" s="38">
        <f>V18-W18</f>
        <v>0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Brasil</v>
      </c>
      <c r="AG18" s="84">
        <f>VLOOKUP($AE18,$O$18:$X$21,3,FALSE)</f>
        <v>0</v>
      </c>
      <c r="AH18" s="84">
        <f>VLOOKUP($AE18,$O$18:$X$21,4,FALSE)</f>
        <v>0</v>
      </c>
      <c r="AI18" s="84">
        <f>VLOOKUP($AE18,$O$18:$X$21,5,FALSE)</f>
        <v>0</v>
      </c>
      <c r="AJ18" s="84">
        <f>VLOOKUP($AE18,$O$18:$X$21,6,FALSE)</f>
        <v>0</v>
      </c>
      <c r="AK18" s="84">
        <f>VLOOKUP($AE18,$O$18:$X$21,7,FALSE)</f>
        <v>0</v>
      </c>
      <c r="AL18" s="84">
        <f>VLOOKUP($AE18,$O$18:$X$21,8,FALSE)</f>
        <v>0</v>
      </c>
      <c r="AM18" s="84">
        <f>VLOOKUP($AE18,$O$18:$X$21,9,FALSE)</f>
        <v>0</v>
      </c>
      <c r="AN18" s="85">
        <f>VLOOKUP($AE18,$O$18:$X$21,10,FALSE)</f>
        <v>0</v>
      </c>
      <c r="BL18" s="153">
        <f>SUM(BL6:BL17)</f>
        <v>0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/>
      <c r="G19" s="84" t="s">
        <v>22</v>
      </c>
      <c r="H19" s="123"/>
      <c r="I19" s="107" t="str">
        <f>P19</f>
        <v>Marrocos</v>
      </c>
      <c r="J19" s="38" t="str">
        <f t="shared" si="0"/>
        <v>empate</v>
      </c>
      <c r="K19" s="38" t="str">
        <f t="shared" si="1"/>
        <v/>
      </c>
      <c r="L19" s="38" t="str">
        <f t="shared" si="2"/>
        <v/>
      </c>
      <c r="M19" s="39" t="str">
        <f t="shared" si="3"/>
        <v>empate</v>
      </c>
      <c r="N19" s="46"/>
      <c r="O19" s="47">
        <f>RANK(Q19,$Q$18:$Q$21)+SUM(Y19:AB19)</f>
        <v>2</v>
      </c>
      <c r="P19" s="49" t="str">
        <f>Sorteios!I7</f>
        <v>Marrocos</v>
      </c>
      <c r="Q19" s="38">
        <f t="shared" ref="Q19:Q21" si="33">(S19*3)+(T19*1)</f>
        <v>0</v>
      </c>
      <c r="R19" s="38">
        <f t="shared" ref="R19:R21" si="34">SUM(S19:U19)</f>
        <v>0</v>
      </c>
      <c r="S19" s="38">
        <f>COUNTIF(J:J,P19)</f>
        <v>0</v>
      </c>
      <c r="T19" s="38">
        <f>COUNTIF(K:K,P19)+COUNTIF(L:L,P19)</f>
        <v>0</v>
      </c>
      <c r="U19" s="38">
        <f>COUNTIF(M:M,P19)</f>
        <v>0</v>
      </c>
      <c r="V19" s="38">
        <f>SUMIF(E:E,P19,F:F)+SUMIF(I:I,P19,H:H)</f>
        <v>0</v>
      </c>
      <c r="W19" s="38">
        <f>SUMIF(E:E,P19,H:H)+SUMIF(I:I,P19,F:F)</f>
        <v>0</v>
      </c>
      <c r="X19" s="38">
        <f t="shared" ref="X19:X21" si="35">V19-W19</f>
        <v>0</v>
      </c>
      <c r="Y19" s="38">
        <f>SUMPRODUCT(($Q$18:$Q$21=Q19)*($X$18:$X$21&gt;X19))</f>
        <v>0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1</v>
      </c>
      <c r="AC19" s="39">
        <v>2</v>
      </c>
      <c r="AD19" s="45"/>
      <c r="AE19" s="21">
        <v>2</v>
      </c>
      <c r="AF19" s="83" t="str">
        <f>VLOOKUP($AE19,$O$18:$X$21,2,FALSE)</f>
        <v>Marrocos</v>
      </c>
      <c r="AG19" s="84">
        <f>VLOOKUP($AE19,$O$18:$X$21,3,FALSE)</f>
        <v>0</v>
      </c>
      <c r="AH19" s="84">
        <f>VLOOKUP($AE19,$O$18:$X$21,4,FALSE)</f>
        <v>0</v>
      </c>
      <c r="AI19" s="84">
        <f>VLOOKUP($AE19,$O$18:$X$21,5,FALSE)</f>
        <v>0</v>
      </c>
      <c r="AJ19" s="84">
        <f>VLOOKUP($AE19,$O$18:$X$21,6,FALSE)</f>
        <v>0</v>
      </c>
      <c r="AK19" s="84">
        <f>VLOOKUP($AE19,$O$18:$X$21,7,FALSE)</f>
        <v>0</v>
      </c>
      <c r="AL19" s="84">
        <f>VLOOKUP($AE19,$O$18:$X$21,8,FALSE)</f>
        <v>0</v>
      </c>
      <c r="AM19" s="84">
        <f>VLOOKUP($AE19,$O$18:$X$21,9,FALSE)</f>
        <v>0</v>
      </c>
      <c r="AN19" s="85">
        <f>VLOOKUP($AE19,$O$18:$X$21,10,FALSE)</f>
        <v>0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/>
      <c r="G20" s="84" t="s">
        <v>22</v>
      </c>
      <c r="H20" s="123"/>
      <c r="I20" s="107" t="str">
        <f>P18</f>
        <v>Brasil</v>
      </c>
      <c r="J20" s="38" t="str">
        <f t="shared" si="0"/>
        <v>empate</v>
      </c>
      <c r="K20" s="38" t="str">
        <f t="shared" si="1"/>
        <v/>
      </c>
      <c r="L20" s="38" t="str">
        <f t="shared" si="2"/>
        <v/>
      </c>
      <c r="M20" s="39" t="str">
        <f t="shared" si="3"/>
        <v>empate</v>
      </c>
      <c r="N20" s="46"/>
      <c r="O20" s="47">
        <f>RANK(Q20,$Q$18:$Q$21)+SUM(Y20:AB20)</f>
        <v>3</v>
      </c>
      <c r="P20" s="49" t="str">
        <f>Sorteios!I8</f>
        <v>Haiti</v>
      </c>
      <c r="Q20" s="38">
        <f t="shared" si="33"/>
        <v>0</v>
      </c>
      <c r="R20" s="38">
        <f t="shared" si="34"/>
        <v>0</v>
      </c>
      <c r="S20" s="38">
        <f>COUNTIF(J:J,P20)</f>
        <v>0</v>
      </c>
      <c r="T20" s="38">
        <f>COUNTIF(K:K,P20)+COUNTIF(L:L,P20)</f>
        <v>0</v>
      </c>
      <c r="U20" s="38">
        <f>COUNTIF(M:M,P20)</f>
        <v>0</v>
      </c>
      <c r="V20" s="38">
        <f>SUMIF(E:E,P20,F:F)+SUMIF(I:I,P20,H:H)</f>
        <v>0</v>
      </c>
      <c r="W20" s="38">
        <f>SUMIF(E:E,P20,H:H)+SUMIF(I:I,P20,F:F)</f>
        <v>0</v>
      </c>
      <c r="X20" s="38">
        <f t="shared" si="35"/>
        <v>0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2</v>
      </c>
      <c r="AC20" s="39">
        <v>3</v>
      </c>
      <c r="AD20" s="45"/>
      <c r="AE20" s="21">
        <v>3</v>
      </c>
      <c r="AF20" s="83" t="str">
        <f>VLOOKUP($AE20,$O$18:$X$21,2,FALSE)</f>
        <v>Haiti</v>
      </c>
      <c r="AG20" s="84">
        <f>VLOOKUP($AE20,$O$18:$X$21,3,FALSE)</f>
        <v>0</v>
      </c>
      <c r="AH20" s="84">
        <f>VLOOKUP($AE20,$O$18:$X$21,4,FALSE)</f>
        <v>0</v>
      </c>
      <c r="AI20" s="84">
        <f>VLOOKUP($AE20,$O$18:$X$21,5,FALSE)</f>
        <v>0</v>
      </c>
      <c r="AJ20" s="84">
        <f>VLOOKUP($AE20,$O$18:$X$21,6,FALSE)</f>
        <v>0</v>
      </c>
      <c r="AK20" s="84">
        <f>VLOOKUP($AE20,$O$18:$X$21,7,FALSE)</f>
        <v>0</v>
      </c>
      <c r="AL20" s="84">
        <f>VLOOKUP($AE20,$O$18:$X$21,8,FALSE)</f>
        <v>0</v>
      </c>
      <c r="AM20" s="84">
        <f>VLOOKUP($AE20,$O$18:$X$21,9,FALSE)</f>
        <v>0</v>
      </c>
      <c r="AN20" s="85">
        <f>VLOOKUP($AE20,$O$18:$X$21,10,FALSE)</f>
        <v>0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/>
      <c r="G21" s="87" t="s">
        <v>22</v>
      </c>
      <c r="H21" s="124"/>
      <c r="I21" s="109" t="str">
        <f>P20</f>
        <v>Haiti</v>
      </c>
      <c r="J21" s="53" t="str">
        <f t="shared" si="0"/>
        <v>empate</v>
      </c>
      <c r="K21" s="53" t="str">
        <f t="shared" si="1"/>
        <v/>
      </c>
      <c r="L21" s="53" t="str">
        <f t="shared" si="2"/>
        <v/>
      </c>
      <c r="M21" s="54" t="str">
        <f t="shared" si="3"/>
        <v>empate</v>
      </c>
      <c r="N21" s="55"/>
      <c r="O21" s="56">
        <f>RANK(Q21,$Q$18:$Q$21)+SUM(Y21:AB21)</f>
        <v>4</v>
      </c>
      <c r="P21" s="49" t="str">
        <f>Sorteios!I9</f>
        <v>Escócia</v>
      </c>
      <c r="Q21" s="53">
        <f t="shared" si="33"/>
        <v>0</v>
      </c>
      <c r="R21" s="53">
        <f t="shared" si="34"/>
        <v>0</v>
      </c>
      <c r="S21" s="38">
        <f>COUNTIF(J:J,P21)</f>
        <v>0</v>
      </c>
      <c r="T21" s="38">
        <f>COUNTIF(K:K,P21)+COUNTIF(L:L,P21)</f>
        <v>0</v>
      </c>
      <c r="U21" s="38">
        <f>COUNTIF(M:M,P21)</f>
        <v>0</v>
      </c>
      <c r="V21" s="53">
        <f>SUMIF(E:E,P21,F:F)+SUMIF(I:I,P21,H:H)</f>
        <v>0</v>
      </c>
      <c r="W21" s="53">
        <f>SUMIF(E:E,P21,H:H)+SUMIF(I:I,P21,F:F)</f>
        <v>0</v>
      </c>
      <c r="X21" s="53">
        <f t="shared" si="35"/>
        <v>0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3</v>
      </c>
      <c r="AC21" s="54">
        <v>4</v>
      </c>
      <c r="AD21" s="57"/>
      <c r="AE21" s="22">
        <v>4</v>
      </c>
      <c r="AF21" s="86" t="str">
        <f>VLOOKUP($AE21,$O$18:$X$21,2,FALSE)</f>
        <v>Escócia</v>
      </c>
      <c r="AG21" s="87">
        <f>VLOOKUP($AE21,$O$18:$X$21,3,FALSE)</f>
        <v>0</v>
      </c>
      <c r="AH21" s="87">
        <f>VLOOKUP($AE21,$O$18:$X$21,4,FALSE)</f>
        <v>0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0</v>
      </c>
      <c r="AL21" s="87">
        <f>VLOOKUP($AE21,$O$18:$X$21,8,FALSE)</f>
        <v>0</v>
      </c>
      <c r="AM21" s="87">
        <f>VLOOKUP($AE21,$O$18:$X$21,9,FALSE)</f>
        <v>0</v>
      </c>
      <c r="AN21" s="88">
        <f>VLOOKUP($AE21,$O$18:$X$21,10,FALSE)</f>
        <v>0</v>
      </c>
      <c r="AP21" s="15">
        <v>1</v>
      </c>
      <c r="AQ21" s="15" t="str">
        <f t="shared" ref="AQ21:AQ28" si="36">VLOOKUP($BI6,$AP$6:$AZ$17,11,FALSE)</f>
        <v>A</v>
      </c>
      <c r="AR21" s="15">
        <f>CODE(AQ21)</f>
        <v>65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/>
      <c r="G22" s="111" t="s">
        <v>22</v>
      </c>
      <c r="H22" s="125"/>
      <c r="I22" s="112" t="str">
        <f>P25</f>
        <v>Paraguai</v>
      </c>
      <c r="J22" s="59" t="str">
        <f t="shared" si="0"/>
        <v>empate</v>
      </c>
      <c r="K22" s="59" t="str">
        <f t="shared" si="1"/>
        <v/>
      </c>
      <c r="L22" s="59" t="str">
        <f t="shared" si="2"/>
        <v/>
      </c>
      <c r="M22" s="60" t="str">
        <f t="shared" si="3"/>
        <v>empate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B</v>
      </c>
      <c r="AR22" s="15">
        <f t="shared" ref="AR22:AR28" si="37">CODE(AQ22)</f>
        <v>66</v>
      </c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/>
      <c r="G23" s="84" t="s">
        <v>22</v>
      </c>
      <c r="H23" s="123"/>
      <c r="I23" s="113" t="str">
        <f>P27</f>
        <v>Turquia</v>
      </c>
      <c r="J23" s="38" t="str">
        <f t="shared" si="0"/>
        <v>empate</v>
      </c>
      <c r="K23" s="38" t="str">
        <f t="shared" si="1"/>
        <v/>
      </c>
      <c r="L23" s="38" t="str">
        <f t="shared" si="2"/>
        <v/>
      </c>
      <c r="M23" s="39" t="str">
        <f t="shared" si="3"/>
        <v>empate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C</v>
      </c>
      <c r="AR23" s="15">
        <f t="shared" si="37"/>
        <v>67</v>
      </c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/>
      <c r="G24" s="84" t="s">
        <v>22</v>
      </c>
      <c r="H24" s="123"/>
      <c r="I24" s="113" t="str">
        <f>P26</f>
        <v>Austrália</v>
      </c>
      <c r="J24" s="38" t="str">
        <f t="shared" si="0"/>
        <v>empate</v>
      </c>
      <c r="K24" s="38" t="str">
        <f t="shared" si="1"/>
        <v/>
      </c>
      <c r="L24" s="38" t="str">
        <f t="shared" si="2"/>
        <v/>
      </c>
      <c r="M24" s="39" t="str">
        <f t="shared" si="3"/>
        <v>empate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0</v>
      </c>
      <c r="R24" s="38">
        <f>SUM(S24:U24)</f>
        <v>0</v>
      </c>
      <c r="S24" s="38">
        <f>COUNTIF(J:J,P24)</f>
        <v>0</v>
      </c>
      <c r="T24" s="38">
        <f>COUNTIF(K:K,P24)+COUNTIF(L:L,P24)</f>
        <v>0</v>
      </c>
      <c r="U24" s="38">
        <f>COUNTIF(M:M,P24)</f>
        <v>0</v>
      </c>
      <c r="V24" s="38">
        <f>SUMIF(E:E,P24,F:F)+SUMIF(I:I,P24,H:H)</f>
        <v>0</v>
      </c>
      <c r="W24" s="38">
        <f>SUMIF(E:E,P24,H:H)+SUMIF(I:I,P24,F:F)</f>
        <v>0</v>
      </c>
      <c r="X24" s="38">
        <f>V24-W24</f>
        <v>0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0</v>
      </c>
      <c r="AH24" s="84">
        <f>VLOOKUP($AE24,$O$24:$X$27,4,FALSE)</f>
        <v>0</v>
      </c>
      <c r="AI24" s="84">
        <f>VLOOKUP($AE24,$O$24:$X$27,5,FALSE)</f>
        <v>0</v>
      </c>
      <c r="AJ24" s="84">
        <f>VLOOKUP($AE24,$O$24:$X$27,6,FALSE)</f>
        <v>0</v>
      </c>
      <c r="AK24" s="84">
        <f>VLOOKUP($AE24,$O$24:$X$27,7,FALSE)</f>
        <v>0</v>
      </c>
      <c r="AL24" s="84">
        <f>VLOOKUP($AE24,$O$24:$X$27,8,FALSE)</f>
        <v>0</v>
      </c>
      <c r="AM24" s="84">
        <f>VLOOKUP($AE24,$O$24:$X$27,9,FALSE)</f>
        <v>0</v>
      </c>
      <c r="AN24" s="85">
        <f>VLOOKUP($AE24,$O$24:$X$27,10,FALSE)</f>
        <v>0</v>
      </c>
      <c r="AP24" s="15">
        <v>4</v>
      </c>
      <c r="AQ24" s="15" t="str">
        <f t="shared" si="36"/>
        <v>D</v>
      </c>
      <c r="AR24" s="15">
        <f t="shared" si="37"/>
        <v>68</v>
      </c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/>
      <c r="G25" s="84" t="s">
        <v>22</v>
      </c>
      <c r="H25" s="123"/>
      <c r="I25" s="113" t="str">
        <f>P25</f>
        <v>Paraguai</v>
      </c>
      <c r="J25" s="38" t="str">
        <f t="shared" si="0"/>
        <v>empate</v>
      </c>
      <c r="K25" s="38" t="str">
        <f t="shared" si="1"/>
        <v/>
      </c>
      <c r="L25" s="38" t="str">
        <f t="shared" si="2"/>
        <v/>
      </c>
      <c r="M25" s="39" t="str">
        <f t="shared" si="3"/>
        <v>empate</v>
      </c>
      <c r="N25" s="45"/>
      <c r="O25" s="47">
        <f>RANK(Q25,$Q$24:$Q$27)+SUM(Y25:AB25)</f>
        <v>2</v>
      </c>
      <c r="P25" s="49" t="str">
        <f>Sorteios!C15</f>
        <v>Paraguai</v>
      </c>
      <c r="Q25" s="38">
        <f t="shared" ref="Q25:Q27" si="38">(S25*3)+(T25*1)</f>
        <v>0</v>
      </c>
      <c r="R25" s="38">
        <f t="shared" ref="R25:R27" si="39">SUM(S25:U25)</f>
        <v>0</v>
      </c>
      <c r="S25" s="38">
        <f>COUNTIF(J:J,P25)</f>
        <v>0</v>
      </c>
      <c r="T25" s="38">
        <f>COUNTIF(K:K,P25)+COUNTIF(L:L,P25)</f>
        <v>0</v>
      </c>
      <c r="U25" s="38">
        <f>COUNTIF(M:M,P25)</f>
        <v>0</v>
      </c>
      <c r="V25" s="38">
        <f>SUMIF(E:E,P25,F:F)+SUMIF(I:I,P25,H:H)</f>
        <v>0</v>
      </c>
      <c r="W25" s="38">
        <f>SUMIF(E:E,P25,H:H)+SUMIF(I:I,P25,F:F)</f>
        <v>0</v>
      </c>
      <c r="X25" s="38">
        <f t="shared" ref="X25:X27" si="40">V25-W25</f>
        <v>0</v>
      </c>
      <c r="Y25" s="38">
        <f>SUMPRODUCT(($Q$24:$Q$27=Q25)*($X$24:$X$27&gt;X25))</f>
        <v>0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1</v>
      </c>
      <c r="AC25" s="39">
        <v>2</v>
      </c>
      <c r="AD25" s="45"/>
      <c r="AE25" s="21">
        <v>2</v>
      </c>
      <c r="AF25" s="83" t="str">
        <f>VLOOKUP($AE25,$O$24:$X$27,2,FALSE)</f>
        <v>Paraguai</v>
      </c>
      <c r="AG25" s="84">
        <f>VLOOKUP($AE25,$O$24:$X$27,3,FALSE)</f>
        <v>0</v>
      </c>
      <c r="AH25" s="84">
        <f>VLOOKUP($AE25,$O$24:$X$27,4,FALSE)</f>
        <v>0</v>
      </c>
      <c r="AI25" s="84">
        <f>VLOOKUP($AE25,$O$24:$X$27,5,FALSE)</f>
        <v>0</v>
      </c>
      <c r="AJ25" s="84">
        <f>VLOOKUP($AE25,$O$24:$X$27,6,FALSE)</f>
        <v>0</v>
      </c>
      <c r="AK25" s="84">
        <f>VLOOKUP($AE25,$O$24:$X$27,7,FALSE)</f>
        <v>0</v>
      </c>
      <c r="AL25" s="84">
        <f>VLOOKUP($AE25,$O$24:$X$27,8,FALSE)</f>
        <v>0</v>
      </c>
      <c r="AM25" s="84">
        <f>VLOOKUP($AE25,$O$24:$X$27,9,FALSE)</f>
        <v>0</v>
      </c>
      <c r="AN25" s="85">
        <f>VLOOKUP($AE25,$O$24:$X$27,10,FALSE)</f>
        <v>0</v>
      </c>
      <c r="AP25" s="15">
        <v>5</v>
      </c>
      <c r="AQ25" s="15" t="str">
        <f t="shared" si="36"/>
        <v>E</v>
      </c>
      <c r="AR25" s="15">
        <f t="shared" si="37"/>
        <v>69</v>
      </c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/>
      <c r="G26" s="84" t="s">
        <v>22</v>
      </c>
      <c r="H26" s="123"/>
      <c r="I26" s="113" t="str">
        <f>P24</f>
        <v>Estados Unidos</v>
      </c>
      <c r="J26" s="38" t="str">
        <f t="shared" si="0"/>
        <v>empate</v>
      </c>
      <c r="K26" s="38" t="str">
        <f t="shared" si="1"/>
        <v/>
      </c>
      <c r="L26" s="38" t="str">
        <f t="shared" si="2"/>
        <v/>
      </c>
      <c r="M26" s="39" t="str">
        <f t="shared" si="3"/>
        <v>empate</v>
      </c>
      <c r="N26" s="45"/>
      <c r="O26" s="47">
        <f>RANK(Q26,$Q$24:$Q$27)+SUM(Y26:AB26)</f>
        <v>3</v>
      </c>
      <c r="P26" s="49" t="str">
        <f>Sorteios!C16</f>
        <v>Austrália</v>
      </c>
      <c r="Q26" s="38">
        <f t="shared" si="38"/>
        <v>0</v>
      </c>
      <c r="R26" s="38">
        <f t="shared" si="39"/>
        <v>0</v>
      </c>
      <c r="S26" s="38">
        <f>COUNTIF(J:J,P26)</f>
        <v>0</v>
      </c>
      <c r="T26" s="38">
        <f>COUNTIF(K:K,P26)+COUNTIF(L:L,P26)</f>
        <v>0</v>
      </c>
      <c r="U26" s="38">
        <f>COUNTIF(M:M,P26)</f>
        <v>0</v>
      </c>
      <c r="V26" s="38">
        <f>SUMIF(E:E,P26,F:F)+SUMIF(I:I,P26,H:H)</f>
        <v>0</v>
      </c>
      <c r="W26" s="38">
        <f>SUMIF(E:E,P26,H:H)+SUMIF(I:I,P26,F:F)</f>
        <v>0</v>
      </c>
      <c r="X26" s="38">
        <f t="shared" si="40"/>
        <v>0</v>
      </c>
      <c r="Y26" s="38">
        <f>SUMPRODUCT(($Q$24:$Q$27=Q26)*($X$24:$X$27&gt;X26))</f>
        <v>0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2</v>
      </c>
      <c r="AC26" s="39">
        <v>3</v>
      </c>
      <c r="AD26" s="45"/>
      <c r="AE26" s="21">
        <v>3</v>
      </c>
      <c r="AF26" s="83" t="str">
        <f>VLOOKUP($AE26,$O$24:$X$27,2,FALSE)</f>
        <v>Austrália</v>
      </c>
      <c r="AG26" s="84">
        <f>VLOOKUP($AE26,$O$24:$X$27,3,FALSE)</f>
        <v>0</v>
      </c>
      <c r="AH26" s="84">
        <f>VLOOKUP($AE26,$O$24:$X$27,4,FALSE)</f>
        <v>0</v>
      </c>
      <c r="AI26" s="84">
        <f>VLOOKUP($AE26,$O$24:$X$27,5,FALSE)</f>
        <v>0</v>
      </c>
      <c r="AJ26" s="84">
        <f>VLOOKUP($AE26,$O$24:$X$27,6,FALSE)</f>
        <v>0</v>
      </c>
      <c r="AK26" s="84">
        <f>VLOOKUP($AE26,$O$24:$X$27,7,FALSE)</f>
        <v>0</v>
      </c>
      <c r="AL26" s="84">
        <f>VLOOKUP($AE26,$O$24:$X$27,8,FALSE)</f>
        <v>0</v>
      </c>
      <c r="AM26" s="84">
        <f>VLOOKUP($AE26,$O$24:$X$27,9,FALSE)</f>
        <v>0</v>
      </c>
      <c r="AN26" s="85">
        <f>VLOOKUP($AE26,$O$24:$X$27,10,FALSE)</f>
        <v>0</v>
      </c>
      <c r="AP26" s="15">
        <v>6</v>
      </c>
      <c r="AQ26" s="15" t="str">
        <f t="shared" si="36"/>
        <v>F</v>
      </c>
      <c r="AR26" s="15">
        <f t="shared" si="37"/>
        <v>70</v>
      </c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/>
      <c r="G27" s="87" t="s">
        <v>22</v>
      </c>
      <c r="H27" s="124"/>
      <c r="I27" s="114" t="str">
        <f>P26</f>
        <v>Austrália</v>
      </c>
      <c r="J27" s="53" t="str">
        <f t="shared" si="0"/>
        <v>empate</v>
      </c>
      <c r="K27" s="53" t="str">
        <f t="shared" si="1"/>
        <v/>
      </c>
      <c r="L27" s="53" t="str">
        <f t="shared" si="2"/>
        <v/>
      </c>
      <c r="M27" s="54" t="str">
        <f t="shared" si="3"/>
        <v>empate</v>
      </c>
      <c r="N27" s="57"/>
      <c r="O27" s="56">
        <f>RANK(Q27,$Q$24:$Q$27)+SUM(Y27:AB27)</f>
        <v>4</v>
      </c>
      <c r="P27" s="49" t="str">
        <f>Sorteios!C17</f>
        <v>Turquia</v>
      </c>
      <c r="Q27" s="53">
        <f t="shared" si="38"/>
        <v>0</v>
      </c>
      <c r="R27" s="53">
        <f t="shared" si="39"/>
        <v>0</v>
      </c>
      <c r="S27" s="38">
        <f>COUNTIF(J:J,P27)</f>
        <v>0</v>
      </c>
      <c r="T27" s="38">
        <f>COUNTIF(K:K,P27)+COUNTIF(L:L,P27)</f>
        <v>0</v>
      </c>
      <c r="U27" s="38">
        <f>COUNTIF(M:M,P27)</f>
        <v>0</v>
      </c>
      <c r="V27" s="53">
        <f>SUMIF(E:E,P27,F:F)+SUMIF(I:I,P27,H:H)</f>
        <v>0</v>
      </c>
      <c r="W27" s="53">
        <f>SUMIF(E:E,P27,H:H)+SUMIF(I:I,P27,F:F)</f>
        <v>0</v>
      </c>
      <c r="X27" s="53">
        <f t="shared" si="40"/>
        <v>0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3</v>
      </c>
      <c r="AC27" s="54">
        <v>4</v>
      </c>
      <c r="AD27" s="57"/>
      <c r="AE27" s="22">
        <v>4</v>
      </c>
      <c r="AF27" s="86" t="str">
        <f>VLOOKUP($AE27,$O$24:$X$27,2,FALSE)</f>
        <v>Turquia</v>
      </c>
      <c r="AG27" s="87">
        <f>VLOOKUP($AE27,$O$24:$X$27,3,FALSE)</f>
        <v>0</v>
      </c>
      <c r="AH27" s="87">
        <f>VLOOKUP($AE27,$O$24:$X$27,4,FALSE)</f>
        <v>0</v>
      </c>
      <c r="AI27" s="87">
        <f>VLOOKUP($AE27,$O$24:$X$27,5,FALSE)</f>
        <v>0</v>
      </c>
      <c r="AJ27" s="87">
        <f>VLOOKUP($AE27,$O$24:$X$27,6,FALSE)</f>
        <v>0</v>
      </c>
      <c r="AK27" s="87">
        <f>VLOOKUP($AE27,$O$24:$X$27,7,FALSE)</f>
        <v>0</v>
      </c>
      <c r="AL27" s="87">
        <f>VLOOKUP($AE27,$O$24:$X$27,8,FALSE)</f>
        <v>0</v>
      </c>
      <c r="AM27" s="87">
        <f>VLOOKUP($AE27,$O$24:$X$27,9,FALSE)</f>
        <v>0</v>
      </c>
      <c r="AN27" s="88">
        <f>VLOOKUP($AE27,$O$24:$X$27,10,FALSE)</f>
        <v>0</v>
      </c>
      <c r="AP27" s="15">
        <v>7</v>
      </c>
      <c r="AQ27" s="15" t="str">
        <f t="shared" si="36"/>
        <v>G</v>
      </c>
      <c r="AR27" s="15">
        <f t="shared" si="37"/>
        <v>71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/>
      <c r="G28" s="111" t="s">
        <v>22</v>
      </c>
      <c r="H28" s="125"/>
      <c r="I28" s="116" t="str">
        <f>P31</f>
        <v>Curaçau</v>
      </c>
      <c r="J28" s="59" t="str">
        <f t="shared" si="0"/>
        <v>empate</v>
      </c>
      <c r="K28" s="59" t="str">
        <f t="shared" si="1"/>
        <v/>
      </c>
      <c r="L28" s="59" t="str">
        <f t="shared" si="2"/>
        <v/>
      </c>
      <c r="M28" s="60" t="str">
        <f t="shared" si="3"/>
        <v>empate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H</v>
      </c>
      <c r="AR28" s="15">
        <f t="shared" si="37"/>
        <v>72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/>
      <c r="G29" s="84" t="s">
        <v>22</v>
      </c>
      <c r="H29" s="123"/>
      <c r="I29" s="107" t="str">
        <f>P33</f>
        <v>Equador</v>
      </c>
      <c r="J29" s="38" t="str">
        <f t="shared" si="0"/>
        <v>empate</v>
      </c>
      <c r="K29" s="38" t="str">
        <f t="shared" si="1"/>
        <v/>
      </c>
      <c r="L29" s="38" t="str">
        <f t="shared" si="2"/>
        <v/>
      </c>
      <c r="M29" s="39" t="str">
        <f t="shared" si="3"/>
        <v>empate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/>
      <c r="G30" s="84" t="s">
        <v>22</v>
      </c>
      <c r="H30" s="123"/>
      <c r="I30" s="107" t="str">
        <f>P32</f>
        <v>Costa do Marfim</v>
      </c>
      <c r="J30" s="38" t="str">
        <f t="shared" si="0"/>
        <v>empate</v>
      </c>
      <c r="K30" s="38" t="str">
        <f t="shared" si="1"/>
        <v/>
      </c>
      <c r="L30" s="38" t="str">
        <f t="shared" si="2"/>
        <v/>
      </c>
      <c r="M30" s="39" t="str">
        <f t="shared" si="3"/>
        <v>empate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0</v>
      </c>
      <c r="R30" s="38">
        <f>SUM(S30:U30)</f>
        <v>0</v>
      </c>
      <c r="S30" s="38">
        <f>COUNTIF(J:J,P30)</f>
        <v>0</v>
      </c>
      <c r="T30" s="38">
        <f>COUNTIF(K:K,P30)+COUNTIF(L:L,P30)</f>
        <v>0</v>
      </c>
      <c r="U30" s="38">
        <f>COUNTIF(M:M,P30)</f>
        <v>0</v>
      </c>
      <c r="V30" s="38">
        <f>SUMIF(E:E,P30,F:F)+SUMIF(I:I,P30,H:H)</f>
        <v>0</v>
      </c>
      <c r="W30" s="38">
        <f>SUMIF(E:E,P30,H:H)+SUMIF(I:I,P30,F:F)</f>
        <v>0</v>
      </c>
      <c r="X30" s="38">
        <f>V30-W30</f>
        <v>0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0</v>
      </c>
      <c r="AH30" s="84">
        <f>VLOOKUP($AE30,$O$30:$X$33,4,FALSE)</f>
        <v>0</v>
      </c>
      <c r="AI30" s="84">
        <f>VLOOKUP($AE30,$O$30:$X$33,5,FALSE)</f>
        <v>0</v>
      </c>
      <c r="AJ30" s="84">
        <f>VLOOKUP($AE30,$O$30:$X$33,6,FALSE)</f>
        <v>0</v>
      </c>
      <c r="AK30" s="84">
        <f>VLOOKUP($AE30,$O$30:$X$33,7,FALSE)</f>
        <v>0</v>
      </c>
      <c r="AL30" s="84">
        <f>VLOOKUP($AE30,$O$30:$X$33,8,FALSE)</f>
        <v>0</v>
      </c>
      <c r="AM30" s="84">
        <f>VLOOKUP($AE30,$O$30:$X$33,9,FALSE)</f>
        <v>0</v>
      </c>
      <c r="AN30" s="85">
        <f>VLOOKUP($AE30,$O$30:$X$33,10,FALSE)</f>
        <v>0</v>
      </c>
      <c r="AQ30" s="15" t="str">
        <f>CHAR(SMALL($AR$21:$AR$28,1))</f>
        <v>A</v>
      </c>
      <c r="AR30" s="15" t="str">
        <f>_xlfn.CONCAT(3,AQ30)</f>
        <v>3A</v>
      </c>
      <c r="AS30" s="15" t="str">
        <f t="shared" ref="AS30:AS37" si="41">VLOOKUP(AQ30,$AZ$6:$BA$17,2,FALSE)</f>
        <v>Coreia do Sul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/>
      <c r="G31" s="84" t="s">
        <v>22</v>
      </c>
      <c r="H31" s="123"/>
      <c r="I31" s="107" t="str">
        <f>P31</f>
        <v>Curaçau</v>
      </c>
      <c r="J31" s="38" t="str">
        <f t="shared" si="0"/>
        <v>empate</v>
      </c>
      <c r="K31" s="38" t="str">
        <f t="shared" si="1"/>
        <v/>
      </c>
      <c r="L31" s="38" t="str">
        <f t="shared" si="2"/>
        <v/>
      </c>
      <c r="M31" s="39" t="str">
        <f t="shared" si="3"/>
        <v>empate</v>
      </c>
      <c r="N31" s="46"/>
      <c r="O31" s="47">
        <f>RANK(Q31,$Q$30:$Q$33)+SUM(Y31:AB31)</f>
        <v>2</v>
      </c>
      <c r="P31" s="49" t="str">
        <f>Sorteios!F15</f>
        <v>Curaçau</v>
      </c>
      <c r="Q31" s="38">
        <f t="shared" ref="Q31:Q33" si="42">(S31*3)+(T31*1)</f>
        <v>0</v>
      </c>
      <c r="R31" s="38">
        <f t="shared" ref="R31:R33" si="43">SUM(S31:U31)</f>
        <v>0</v>
      </c>
      <c r="S31" s="38">
        <f>COUNTIF(J:J,P31)</f>
        <v>0</v>
      </c>
      <c r="T31" s="38">
        <f>COUNTIF(K:K,P31)+COUNTIF(L:L,P31)</f>
        <v>0</v>
      </c>
      <c r="U31" s="38">
        <f>COUNTIF(M:M,P31)</f>
        <v>0</v>
      </c>
      <c r="V31" s="38">
        <f>SUMIF(E:E,P31,F:F)+SUMIF(I:I,P31,H:H)</f>
        <v>0</v>
      </c>
      <c r="W31" s="38">
        <f>SUMIF(E:E,P31,H:H)+SUMIF(I:I,P31,F:F)</f>
        <v>0</v>
      </c>
      <c r="X31" s="38">
        <f t="shared" ref="X31:X33" si="44">V31-W31</f>
        <v>0</v>
      </c>
      <c r="Y31" s="38">
        <f>SUMPRODUCT(($Q$30:$Q$33=Q31)*($X$30:$X$33&gt;X31))</f>
        <v>0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1</v>
      </c>
      <c r="AC31" s="39">
        <v>2</v>
      </c>
      <c r="AD31" s="45"/>
      <c r="AE31" s="21">
        <v>2</v>
      </c>
      <c r="AF31" s="83" t="str">
        <f>VLOOKUP($AE31,$O$30:$X$33,2,FALSE)</f>
        <v>Curaçau</v>
      </c>
      <c r="AG31" s="84">
        <f>VLOOKUP($AE31,$O$30:$X$33,3,FALSE)</f>
        <v>0</v>
      </c>
      <c r="AH31" s="84">
        <f>VLOOKUP($AE31,$O$30:$X$33,4,FALSE)</f>
        <v>0</v>
      </c>
      <c r="AI31" s="84">
        <f>VLOOKUP($AE31,$O$30:$X$33,5,FALSE)</f>
        <v>0</v>
      </c>
      <c r="AJ31" s="84">
        <f>VLOOKUP($AE31,$O$30:$X$33,6,FALSE)</f>
        <v>0</v>
      </c>
      <c r="AK31" s="84">
        <f>VLOOKUP($AE31,$O$30:$X$33,7,FALSE)</f>
        <v>0</v>
      </c>
      <c r="AL31" s="84">
        <f>VLOOKUP($AE31,$O$30:$X$33,8,FALSE)</f>
        <v>0</v>
      </c>
      <c r="AM31" s="84">
        <f>VLOOKUP($AE31,$O$30:$X$33,9,FALSE)</f>
        <v>0</v>
      </c>
      <c r="AN31" s="85">
        <f>VLOOKUP($AE31,$O$30:$X$33,10,FALSE)</f>
        <v>0</v>
      </c>
      <c r="AQ31" s="15" t="str">
        <f>CHAR(SMALL($AR$21:$AR$28,2))</f>
        <v>B</v>
      </c>
      <c r="AR31" s="15" t="str">
        <f t="shared" ref="AR31:AR37" si="45">_xlfn.CONCAT(3,AQ31)</f>
        <v>3B</v>
      </c>
      <c r="AS31" s="15" t="str">
        <f t="shared" si="41"/>
        <v>Qatar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/>
      <c r="G32" s="84" t="s">
        <v>22</v>
      </c>
      <c r="H32" s="123"/>
      <c r="I32" s="107" t="str">
        <f>P30</f>
        <v>Alemanha</v>
      </c>
      <c r="J32" s="38" t="str">
        <f t="shared" si="0"/>
        <v>empate</v>
      </c>
      <c r="K32" s="38" t="str">
        <f t="shared" si="1"/>
        <v/>
      </c>
      <c r="L32" s="38" t="str">
        <f t="shared" si="2"/>
        <v/>
      </c>
      <c r="M32" s="39" t="str">
        <f t="shared" si="3"/>
        <v>empate</v>
      </c>
      <c r="N32" s="46"/>
      <c r="O32" s="47">
        <f>RANK(Q32,$Q$30:$Q$33)+SUM(Y32:AB32)</f>
        <v>3</v>
      </c>
      <c r="P32" s="49" t="str">
        <f>Sorteios!F16</f>
        <v>Costa do Marfim</v>
      </c>
      <c r="Q32" s="38">
        <f t="shared" si="42"/>
        <v>0</v>
      </c>
      <c r="R32" s="38">
        <f t="shared" si="43"/>
        <v>0</v>
      </c>
      <c r="S32" s="38">
        <f>COUNTIF(J:J,P32)</f>
        <v>0</v>
      </c>
      <c r="T32" s="38">
        <f>COUNTIF(K:K,P32)+COUNTIF(L:L,P32)</f>
        <v>0</v>
      </c>
      <c r="U32" s="38">
        <f>COUNTIF(M:M,P32)</f>
        <v>0</v>
      </c>
      <c r="V32" s="38">
        <f>SUMIF(E:E,P32,F:F)+SUMIF(I:I,P32,H:H)</f>
        <v>0</v>
      </c>
      <c r="W32" s="38">
        <f>SUMIF(E:E,P32,H:H)+SUMIF(I:I,P32,F:F)</f>
        <v>0</v>
      </c>
      <c r="X32" s="38">
        <f t="shared" si="44"/>
        <v>0</v>
      </c>
      <c r="Y32" s="38">
        <f>SUMPRODUCT(($Q$30:$Q$33=Q32)*($X$30:$X$33&gt;X32))</f>
        <v>0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2</v>
      </c>
      <c r="AC32" s="39">
        <v>3</v>
      </c>
      <c r="AD32" s="45"/>
      <c r="AE32" s="21">
        <v>3</v>
      </c>
      <c r="AF32" s="83" t="str">
        <f>VLOOKUP($AE32,$O$30:$X$33,2,FALSE)</f>
        <v>Costa do Marfim</v>
      </c>
      <c r="AG32" s="84">
        <f>VLOOKUP($AE32,$O$30:$X$33,3,FALSE)</f>
        <v>0</v>
      </c>
      <c r="AH32" s="84">
        <f>VLOOKUP($AE32,$O$30:$X$33,4,FALSE)</f>
        <v>0</v>
      </c>
      <c r="AI32" s="84">
        <f>VLOOKUP($AE32,$O$30:$X$33,5,FALSE)</f>
        <v>0</v>
      </c>
      <c r="AJ32" s="84">
        <f>VLOOKUP($AE32,$O$30:$X$33,6,FALSE)</f>
        <v>0</v>
      </c>
      <c r="AK32" s="84">
        <f>VLOOKUP($AE32,$O$30:$X$33,7,FALSE)</f>
        <v>0</v>
      </c>
      <c r="AL32" s="84">
        <f>VLOOKUP($AE32,$O$30:$X$33,8,FALSE)</f>
        <v>0</v>
      </c>
      <c r="AM32" s="84">
        <f>VLOOKUP($AE32,$O$30:$X$33,9,FALSE)</f>
        <v>0</v>
      </c>
      <c r="AN32" s="85">
        <f>VLOOKUP($AE32,$O$30:$X$33,10,FALSE)</f>
        <v>0</v>
      </c>
      <c r="AQ32" s="15" t="str">
        <f>CHAR(SMALL($AR$21:$AR$28,3))</f>
        <v>C</v>
      </c>
      <c r="AR32" s="15" t="str">
        <f t="shared" si="45"/>
        <v>3C</v>
      </c>
      <c r="AS32" s="15" t="str">
        <f t="shared" si="41"/>
        <v>Haiti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/>
      <c r="G33" s="87" t="s">
        <v>22</v>
      </c>
      <c r="H33" s="124"/>
      <c r="I33" s="109" t="str">
        <f>P32</f>
        <v>Costa do Marfim</v>
      </c>
      <c r="J33" s="53" t="str">
        <f t="shared" si="0"/>
        <v>empate</v>
      </c>
      <c r="K33" s="53" t="str">
        <f t="shared" si="1"/>
        <v/>
      </c>
      <c r="L33" s="53" t="str">
        <f t="shared" si="2"/>
        <v/>
      </c>
      <c r="M33" s="54" t="str">
        <f t="shared" si="3"/>
        <v>empate</v>
      </c>
      <c r="N33" s="55"/>
      <c r="O33" s="56">
        <f>RANK(Q33,$Q$30:$Q$33)+SUM(Y33:AB33)</f>
        <v>4</v>
      </c>
      <c r="P33" s="49" t="str">
        <f>Sorteios!F17</f>
        <v>Equador</v>
      </c>
      <c r="Q33" s="53">
        <f t="shared" si="42"/>
        <v>0</v>
      </c>
      <c r="R33" s="53">
        <f t="shared" si="43"/>
        <v>0</v>
      </c>
      <c r="S33" s="38">
        <f>COUNTIF(J:J,P33)</f>
        <v>0</v>
      </c>
      <c r="T33" s="38">
        <f>COUNTIF(K:K,P33)+COUNTIF(L:L,P33)</f>
        <v>0</v>
      </c>
      <c r="U33" s="38">
        <f>COUNTIF(M:M,P33)</f>
        <v>0</v>
      </c>
      <c r="V33" s="53">
        <f>SUMIF(E:E,P33,F:F)+SUMIF(I:I,P33,H:H)</f>
        <v>0</v>
      </c>
      <c r="W33" s="53">
        <f>SUMIF(E:E,P33,H:H)+SUMIF(I:I,P33,F:F)</f>
        <v>0</v>
      </c>
      <c r="X33" s="53">
        <f t="shared" si="44"/>
        <v>0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3</v>
      </c>
      <c r="AC33" s="54">
        <v>4</v>
      </c>
      <c r="AD33" s="57"/>
      <c r="AE33" s="22">
        <v>4</v>
      </c>
      <c r="AF33" s="86" t="str">
        <f>VLOOKUP($AE33,$O$30:$X$33,2,FALSE)</f>
        <v>Equador</v>
      </c>
      <c r="AG33" s="87">
        <f>VLOOKUP($AE33,$O$30:$X$33,3,FALSE)</f>
        <v>0</v>
      </c>
      <c r="AH33" s="87">
        <f>VLOOKUP($AE33,$O$30:$X$33,4,FALSE)</f>
        <v>0</v>
      </c>
      <c r="AI33" s="87">
        <f>VLOOKUP($AE33,$O$30:$X$33,5,FALSE)</f>
        <v>0</v>
      </c>
      <c r="AJ33" s="87">
        <f>VLOOKUP($AE33,$O$30:$X$33,6,FALSE)</f>
        <v>0</v>
      </c>
      <c r="AK33" s="87">
        <f>VLOOKUP($AE33,$O$30:$X$33,7,FALSE)</f>
        <v>0</v>
      </c>
      <c r="AL33" s="87">
        <f>VLOOKUP($AE33,$O$30:$X$33,8,FALSE)</f>
        <v>0</v>
      </c>
      <c r="AM33" s="87">
        <f>VLOOKUP($AE33,$O$30:$X$33,9,FALSE)</f>
        <v>0</v>
      </c>
      <c r="AN33" s="88">
        <f>VLOOKUP($AE33,$O$30:$X$33,10,FALSE)</f>
        <v>0</v>
      </c>
      <c r="AQ33" s="15" t="str">
        <f>CHAR(SMALL($AR$21:$AR$28,4))</f>
        <v>D</v>
      </c>
      <c r="AR33" s="15" t="str">
        <f t="shared" si="45"/>
        <v>3D</v>
      </c>
      <c r="AS33" s="15" t="str">
        <f t="shared" si="41"/>
        <v>Austrália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/>
      <c r="G34" s="111" t="s">
        <v>22</v>
      </c>
      <c r="H34" s="125"/>
      <c r="I34" s="112" t="str">
        <f>P37</f>
        <v>Japão</v>
      </c>
      <c r="J34" s="59" t="str">
        <f t="shared" si="0"/>
        <v>empate</v>
      </c>
      <c r="K34" s="59" t="str">
        <f t="shared" si="1"/>
        <v/>
      </c>
      <c r="L34" s="59" t="str">
        <f t="shared" si="2"/>
        <v/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E</v>
      </c>
      <c r="AR34" s="15" t="str">
        <f t="shared" si="45"/>
        <v>3E</v>
      </c>
      <c r="AS34" s="15" t="str">
        <f t="shared" si="41"/>
        <v>Costa do Marfim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/>
      <c r="G35" s="84" t="s">
        <v>22</v>
      </c>
      <c r="H35" s="123"/>
      <c r="I35" s="113" t="str">
        <f>P39</f>
        <v>Tunísia</v>
      </c>
      <c r="J35" s="38" t="str">
        <f t="shared" si="0"/>
        <v>empate</v>
      </c>
      <c r="K35" s="38" t="str">
        <f t="shared" si="1"/>
        <v/>
      </c>
      <c r="L35" s="38" t="str">
        <f t="shared" si="2"/>
        <v/>
      </c>
      <c r="M35" s="39" t="str">
        <f t="shared" si="3"/>
        <v>empate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F</v>
      </c>
      <c r="AR35" s="15" t="str">
        <f t="shared" si="45"/>
        <v>3F</v>
      </c>
      <c r="AS35" s="15" t="str">
        <f t="shared" si="41"/>
        <v>Suécia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/>
      <c r="G36" s="84" t="s">
        <v>22</v>
      </c>
      <c r="H36" s="123"/>
      <c r="I36" s="113" t="str">
        <f>P38</f>
        <v>Suécia</v>
      </c>
      <c r="J36" s="38" t="str">
        <f t="shared" ref="J36:J67" si="46">IF(F36=H36,"empate",IF(F36&gt;H36,E36,I36))</f>
        <v>empate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empate</v>
      </c>
      <c r="N36" s="45"/>
      <c r="O36" s="47">
        <f>RANK(Q36,$Q$36:$Q$39)+SUM(Y36:AB36)</f>
        <v>1</v>
      </c>
      <c r="P36" s="49" t="str">
        <f>Sorteios!I14</f>
        <v>Países Baixos</v>
      </c>
      <c r="Q36" s="38">
        <f>(S36*3)+(T36*1)</f>
        <v>0</v>
      </c>
      <c r="R36" s="38">
        <f>SUM(S36:U36)</f>
        <v>0</v>
      </c>
      <c r="S36" s="38">
        <f>COUNTIF(J:J,P36)</f>
        <v>0</v>
      </c>
      <c r="T36" s="38">
        <f>COUNTIF(K:K,P36)+COUNTIF(L:L,P36)</f>
        <v>0</v>
      </c>
      <c r="U36" s="38">
        <f>COUNTIF(M:M,P36)</f>
        <v>0</v>
      </c>
      <c r="V36" s="38">
        <f>SUMIF(E:E,P36,F:F)+SUMIF(I:I,P36,H:H)</f>
        <v>0</v>
      </c>
      <c r="W36" s="38">
        <f>SUMIF(E:E,P36,H:H)+SUMIF(I:I,P36,F:F)</f>
        <v>0</v>
      </c>
      <c r="X36" s="38">
        <f>V36-W36</f>
        <v>0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Países Baixos</v>
      </c>
      <c r="AG36" s="84">
        <f>VLOOKUP($AE36,$O$36:$X$39,3,FALSE)</f>
        <v>0</v>
      </c>
      <c r="AH36" s="84">
        <f>VLOOKUP($AE36,$O$36:$X$39,4,FALSE)</f>
        <v>0</v>
      </c>
      <c r="AI36" s="84">
        <f>VLOOKUP($AE36,$O$36:$X$39,5,FALSE)</f>
        <v>0</v>
      </c>
      <c r="AJ36" s="84">
        <f>VLOOKUP($AE36,$O$36:$X$39,6,FALSE)</f>
        <v>0</v>
      </c>
      <c r="AK36" s="84">
        <f>VLOOKUP($AE36,$O$36:$X$39,7,FALSE)</f>
        <v>0</v>
      </c>
      <c r="AL36" s="84">
        <f>VLOOKUP($AE36,$O$36:$X$39,8,FALSE)</f>
        <v>0</v>
      </c>
      <c r="AM36" s="84">
        <f>VLOOKUP($AE36,$O$36:$X$39,9,FALSE)</f>
        <v>0</v>
      </c>
      <c r="AN36" s="85">
        <f>VLOOKUP($AE36,$O$36:$X$39,10,FALSE)</f>
        <v>0</v>
      </c>
      <c r="AQ36" s="15" t="str">
        <f>CHAR(SMALL($AR$21:$AR$28,7))</f>
        <v>G</v>
      </c>
      <c r="AR36" s="15" t="str">
        <f t="shared" si="45"/>
        <v>3G</v>
      </c>
      <c r="AS36" s="15" t="str">
        <f t="shared" si="41"/>
        <v>Irã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/>
      <c r="G37" s="84" t="s">
        <v>22</v>
      </c>
      <c r="H37" s="123"/>
      <c r="I37" s="113" t="str">
        <f>P37</f>
        <v>Japão</v>
      </c>
      <c r="J37" s="38" t="str">
        <f t="shared" si="46"/>
        <v>empate</v>
      </c>
      <c r="K37" s="38" t="str">
        <f t="shared" si="47"/>
        <v/>
      </c>
      <c r="L37" s="38" t="str">
        <f t="shared" si="48"/>
        <v/>
      </c>
      <c r="M37" s="39" t="str">
        <f t="shared" si="49"/>
        <v>empate</v>
      </c>
      <c r="N37" s="45"/>
      <c r="O37" s="47">
        <f>RANK(Q37,$Q$36:$Q$39)+SUM(Y37:AB37)</f>
        <v>2</v>
      </c>
      <c r="P37" s="49" t="str">
        <f>Sorteios!I15</f>
        <v>Japão</v>
      </c>
      <c r="Q37" s="38">
        <f t="shared" ref="Q37:Q39" si="50">(S37*3)+(T37*1)</f>
        <v>0</v>
      </c>
      <c r="R37" s="38">
        <f t="shared" ref="R37:R39" si="51">SUM(S37:U37)</f>
        <v>0</v>
      </c>
      <c r="S37" s="38">
        <f>COUNTIF(J:J,P37)</f>
        <v>0</v>
      </c>
      <c r="T37" s="38">
        <f>COUNTIF(K:K,P37)+COUNTIF(L:L,P37)</f>
        <v>0</v>
      </c>
      <c r="U37" s="38">
        <f>COUNTIF(M:M,P37)</f>
        <v>0</v>
      </c>
      <c r="V37" s="38">
        <f>SUMIF(E:E,P37,F:F)+SUMIF(I:I,P37,H:H)</f>
        <v>0</v>
      </c>
      <c r="W37" s="38">
        <f>SUMIF(E:E,P37,H:H)+SUMIF(I:I,P37,F:F)</f>
        <v>0</v>
      </c>
      <c r="X37" s="38">
        <f t="shared" ref="X37:X39" si="52">V37-W37</f>
        <v>0</v>
      </c>
      <c r="Y37" s="38">
        <f>SUMPRODUCT(($Q$36:$Q$39=Q37)*($X$36:$X$39&gt;X37))</f>
        <v>0</v>
      </c>
      <c r="Z37" s="38">
        <f>SUMPRODUCT(($Q$36:$Q$39=Q37)*($X$36:$X$39=X37)*($V$36:$V$39&gt;V37))</f>
        <v>0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1</v>
      </c>
      <c r="AC37" s="39">
        <v>2</v>
      </c>
      <c r="AD37" s="45"/>
      <c r="AE37" s="21">
        <v>2</v>
      </c>
      <c r="AF37" s="83" t="str">
        <f>VLOOKUP($AE37,$O$36:$X$39,2,FALSE)</f>
        <v>Japão</v>
      </c>
      <c r="AG37" s="84">
        <f>VLOOKUP($AE37,$O$36:$X$39,3,FALSE)</f>
        <v>0</v>
      </c>
      <c r="AH37" s="84">
        <f>VLOOKUP($AE37,$O$36:$X$39,4,FALSE)</f>
        <v>0</v>
      </c>
      <c r="AI37" s="84">
        <f>VLOOKUP($AE37,$O$36:$X$39,5,FALSE)</f>
        <v>0</v>
      </c>
      <c r="AJ37" s="84">
        <f>VLOOKUP($AE37,$O$36:$X$39,6,FALSE)</f>
        <v>0</v>
      </c>
      <c r="AK37" s="84">
        <f>VLOOKUP($AE37,$O$36:$X$39,7,FALSE)</f>
        <v>0</v>
      </c>
      <c r="AL37" s="84">
        <f>VLOOKUP($AE37,$O$36:$X$39,8,FALSE)</f>
        <v>0</v>
      </c>
      <c r="AM37" s="84">
        <f>VLOOKUP($AE37,$O$36:$X$39,9,FALSE)</f>
        <v>0</v>
      </c>
      <c r="AN37" s="85">
        <f>VLOOKUP($AE37,$O$36:$X$39,10,FALSE)</f>
        <v>0</v>
      </c>
      <c r="AQ37" s="15" t="str">
        <f>CHAR(SMALL($AR$21:$AR$28,8))</f>
        <v>H</v>
      </c>
      <c r="AR37" s="15" t="str">
        <f t="shared" si="45"/>
        <v>3H</v>
      </c>
      <c r="AS37" s="15" t="str">
        <f t="shared" si="41"/>
        <v>Arábia Saudita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/>
      <c r="G38" s="84" t="s">
        <v>22</v>
      </c>
      <c r="H38" s="123"/>
      <c r="I38" s="113" t="str">
        <f>P36</f>
        <v>Países Baixos</v>
      </c>
      <c r="J38" s="38" t="str">
        <f t="shared" si="46"/>
        <v>empate</v>
      </c>
      <c r="K38" s="38" t="str">
        <f t="shared" si="47"/>
        <v/>
      </c>
      <c r="L38" s="38" t="str">
        <f t="shared" si="48"/>
        <v/>
      </c>
      <c r="M38" s="39" t="str">
        <f t="shared" si="49"/>
        <v>empate</v>
      </c>
      <c r="N38" s="45"/>
      <c r="O38" s="47">
        <f>RANK(Q38,$Q$36:$Q$39)+SUM(Y38:AB38)</f>
        <v>3</v>
      </c>
      <c r="P38" s="49" t="str">
        <f>Sorteios!I16</f>
        <v>Suécia</v>
      </c>
      <c r="Q38" s="38">
        <f t="shared" si="50"/>
        <v>0</v>
      </c>
      <c r="R38" s="38">
        <f t="shared" si="51"/>
        <v>0</v>
      </c>
      <c r="S38" s="38">
        <f>COUNTIF(J:J,P38)</f>
        <v>0</v>
      </c>
      <c r="T38" s="38">
        <f>COUNTIF(K:K,P38)+COUNTIF(L:L,P38)</f>
        <v>0</v>
      </c>
      <c r="U38" s="38">
        <f>COUNTIF(M:M,P38)</f>
        <v>0</v>
      </c>
      <c r="V38" s="38">
        <f>SUMIF(E:E,P38,F:F)+SUMIF(I:I,P38,H:H)</f>
        <v>0</v>
      </c>
      <c r="W38" s="38">
        <f>SUMIF(E:E,P38,H:H)+SUMIF(I:I,P38,F:F)</f>
        <v>0</v>
      </c>
      <c r="X38" s="38">
        <f t="shared" si="52"/>
        <v>0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2</v>
      </c>
      <c r="AC38" s="39">
        <v>3</v>
      </c>
      <c r="AD38" s="45"/>
      <c r="AE38" s="21">
        <v>3</v>
      </c>
      <c r="AF38" s="83" t="str">
        <f>VLOOKUP($AE38,$O$36:$X$39,2,FALSE)</f>
        <v>Suécia</v>
      </c>
      <c r="AG38" s="84">
        <f>VLOOKUP($AE38,$O$36:$X$39,3,FALSE)</f>
        <v>0</v>
      </c>
      <c r="AH38" s="84">
        <f>VLOOKUP($AE38,$O$36:$X$39,4,FALSE)</f>
        <v>0</v>
      </c>
      <c r="AI38" s="84">
        <f>VLOOKUP($AE38,$O$36:$X$39,5,FALSE)</f>
        <v>0</v>
      </c>
      <c r="AJ38" s="84">
        <f>VLOOKUP($AE38,$O$36:$X$39,6,FALSE)</f>
        <v>0</v>
      </c>
      <c r="AK38" s="84">
        <f>VLOOKUP($AE38,$O$36:$X$39,7,FALSE)</f>
        <v>0</v>
      </c>
      <c r="AL38" s="84">
        <f>VLOOKUP($AE38,$O$36:$X$39,8,FALSE)</f>
        <v>0</v>
      </c>
      <c r="AM38" s="84">
        <f>VLOOKUP($AE38,$O$36:$X$39,9,FALSE)</f>
        <v>0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/>
      <c r="G39" s="87" t="s">
        <v>22</v>
      </c>
      <c r="H39" s="124"/>
      <c r="I39" s="114" t="str">
        <f>P38</f>
        <v>Suécia</v>
      </c>
      <c r="J39" s="53" t="str">
        <f t="shared" si="46"/>
        <v>empate</v>
      </c>
      <c r="K39" s="53" t="str">
        <f t="shared" si="47"/>
        <v/>
      </c>
      <c r="L39" s="53" t="str">
        <f t="shared" si="48"/>
        <v/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0</v>
      </c>
      <c r="S39" s="38">
        <f>COUNTIF(J:J,P39)</f>
        <v>0</v>
      </c>
      <c r="T39" s="38">
        <f>COUNTIF(K:K,P39)+COUNTIF(L:L,P39)</f>
        <v>0</v>
      </c>
      <c r="U39" s="38">
        <f>COUNTIF(M:M,P39)</f>
        <v>0</v>
      </c>
      <c r="V39" s="53">
        <f>SUMIF(E:E,P39,F:F)+SUMIF(I:I,P39,H:H)</f>
        <v>0</v>
      </c>
      <c r="W39" s="53">
        <f>SUMIF(E:E,P39,H:H)+SUMIF(I:I,P39,F:F)</f>
        <v>0</v>
      </c>
      <c r="X39" s="53">
        <f t="shared" si="52"/>
        <v>0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3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0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0</v>
      </c>
      <c r="AL39" s="87">
        <f>VLOOKUP($AE39,$O$36:$X$39,8,FALSE)</f>
        <v>0</v>
      </c>
      <c r="AM39" s="87">
        <f>VLOOKUP($AE39,$O$36:$X$39,9,FALSE)</f>
        <v>0</v>
      </c>
      <c r="AN39" s="88">
        <f>VLOOKUP($AE39,$O$36:$X$39,10,FALSE)</f>
        <v>0</v>
      </c>
      <c r="AQ39" s="15" t="str">
        <f>_xlfn.CONCAT(AQ30:AQ37)</f>
        <v>ABCDEFGH</v>
      </c>
      <c r="AR39" s="15" t="str">
        <f>VLOOKUP(AQ39,Dummy!O:X,10,FALSE)</f>
        <v>3H3G3B3C3A3F3D3E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/>
      <c r="G40" s="111" t="s">
        <v>22</v>
      </c>
      <c r="H40" s="125"/>
      <c r="I40" s="116" t="str">
        <f>P43</f>
        <v>Egito</v>
      </c>
      <c r="J40" s="59" t="str">
        <f t="shared" si="46"/>
        <v>empate</v>
      </c>
      <c r="K40" s="59" t="str">
        <f t="shared" si="47"/>
        <v/>
      </c>
      <c r="L40" s="59" t="str">
        <f t="shared" si="48"/>
        <v/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/>
      <c r="G41" s="84" t="s">
        <v>22</v>
      </c>
      <c r="H41" s="123"/>
      <c r="I41" s="107" t="str">
        <f>P45</f>
        <v>Nova Zelândia</v>
      </c>
      <c r="J41" s="38" t="str">
        <f t="shared" si="46"/>
        <v>empate</v>
      </c>
      <c r="K41" s="38" t="str">
        <f t="shared" si="47"/>
        <v/>
      </c>
      <c r="L41" s="38" t="str">
        <f t="shared" si="48"/>
        <v/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/>
      <c r="G42" s="84" t="s">
        <v>22</v>
      </c>
      <c r="H42" s="123"/>
      <c r="I42" s="107" t="str">
        <f>P44</f>
        <v>Irã</v>
      </c>
      <c r="J42" s="38" t="str">
        <f t="shared" si="46"/>
        <v>empate</v>
      </c>
      <c r="K42" s="38" t="str">
        <f t="shared" si="47"/>
        <v/>
      </c>
      <c r="L42" s="38" t="str">
        <f t="shared" si="48"/>
        <v/>
      </c>
      <c r="M42" s="39" t="str">
        <f t="shared" si="49"/>
        <v>empate</v>
      </c>
      <c r="N42" s="46"/>
      <c r="O42" s="47">
        <f>RANK(Q42,$Q$42:$Q$45)+SUM(Y42:AB42)</f>
        <v>1</v>
      </c>
      <c r="P42" s="49" t="str">
        <f>Sorteios!C22</f>
        <v>Bélgica</v>
      </c>
      <c r="Q42" s="38">
        <f>(S42*3)+(T42*1)</f>
        <v>0</v>
      </c>
      <c r="R42" s="38">
        <f>SUM(S42:U42)</f>
        <v>0</v>
      </c>
      <c r="S42" s="38">
        <f>COUNTIF(J:J,P42)</f>
        <v>0</v>
      </c>
      <c r="T42" s="38">
        <f>COUNTIF(K:K,P42)+COUNTIF(L:L,P42)</f>
        <v>0</v>
      </c>
      <c r="U42" s="38">
        <f>COUNTIF(M:M,P42)</f>
        <v>0</v>
      </c>
      <c r="V42" s="38">
        <f>SUMIF(E:E,P42,F:F)+SUMIF(I:I,P42,H:H)</f>
        <v>0</v>
      </c>
      <c r="W42" s="38">
        <f>SUMIF(E:E,P42,H:H)+SUMIF(I:I,P42,F:F)</f>
        <v>0</v>
      </c>
      <c r="X42" s="38">
        <f>V42-W42</f>
        <v>0</v>
      </c>
      <c r="Y42" s="38">
        <f>SUMPRODUCT(($Q$42:$Q$45=Q42)*($X$42:$X$45&gt;X42))</f>
        <v>0</v>
      </c>
      <c r="Z42" s="38">
        <f>SUMPRODUCT(($Q$42:$Q$45=Q42)*($X$42:$X$45=X42)*($V$42:$V$45&gt;V42))</f>
        <v>0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Bélgica</v>
      </c>
      <c r="AG42" s="84">
        <f>VLOOKUP($AE42,$O$42:$X$45,3,FALSE)</f>
        <v>0</v>
      </c>
      <c r="AH42" s="84">
        <f>VLOOKUP($AE42,$O$42:$X$45,4,FALSE)</f>
        <v>0</v>
      </c>
      <c r="AI42" s="84">
        <f>VLOOKUP($AE42,$O$42:$X$45,5,FALSE)</f>
        <v>0</v>
      </c>
      <c r="AJ42" s="84">
        <f>VLOOKUP($AE42,$O$42:$X$45,6,FALSE)</f>
        <v>0</v>
      </c>
      <c r="AK42" s="84">
        <f>VLOOKUP($AE42,$O$42:$X$45,7,FALSE)</f>
        <v>0</v>
      </c>
      <c r="AL42" s="84">
        <f>VLOOKUP($AE42,$O$42:$X$45,8,FALSE)</f>
        <v>0</v>
      </c>
      <c r="AM42" s="84">
        <f>VLOOKUP($AE42,$O$42:$X$45,9,FALSE)</f>
        <v>0</v>
      </c>
      <c r="AN42" s="85">
        <f>VLOOKUP($AE42,$O$42:$X$45,10,FALSE)</f>
        <v>0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/>
      <c r="G43" s="84" t="s">
        <v>22</v>
      </c>
      <c r="H43" s="123"/>
      <c r="I43" s="107" t="str">
        <f>P43</f>
        <v>Egito</v>
      </c>
      <c r="J43" s="38" t="str">
        <f t="shared" si="46"/>
        <v>empate</v>
      </c>
      <c r="K43" s="38" t="str">
        <f t="shared" si="47"/>
        <v/>
      </c>
      <c r="L43" s="38" t="str">
        <f t="shared" si="48"/>
        <v/>
      </c>
      <c r="M43" s="39" t="str">
        <f t="shared" si="49"/>
        <v>empate</v>
      </c>
      <c r="N43" s="46"/>
      <c r="O43" s="47">
        <f>RANK(Q43,$Q$42:$Q$45)+SUM(Y43:AB43)</f>
        <v>2</v>
      </c>
      <c r="P43" s="49" t="str">
        <f>Sorteios!C23</f>
        <v>Egito</v>
      </c>
      <c r="Q43" s="38">
        <f t="shared" ref="Q43:Q45" si="53">(S43*3)+(T43*1)</f>
        <v>0</v>
      </c>
      <c r="R43" s="38">
        <f t="shared" ref="R43:R45" si="54">SUM(S43:U43)</f>
        <v>0</v>
      </c>
      <c r="S43" s="38">
        <f>COUNTIF(J:J,P43)</f>
        <v>0</v>
      </c>
      <c r="T43" s="38">
        <f>COUNTIF(K:K,P43)+COUNTIF(L:L,P43)</f>
        <v>0</v>
      </c>
      <c r="U43" s="38">
        <f>COUNTIF(M:M,P43)</f>
        <v>0</v>
      </c>
      <c r="V43" s="38">
        <f>SUMIF(E:E,P43,F:F)+SUMIF(I:I,P43,H:H)</f>
        <v>0</v>
      </c>
      <c r="W43" s="38">
        <f>SUMIF(E:E,P43,H:H)+SUMIF(I:I,P43,F:F)</f>
        <v>0</v>
      </c>
      <c r="X43" s="38">
        <f t="shared" ref="X43:X45" si="55">V43-W43</f>
        <v>0</v>
      </c>
      <c r="Y43" s="38">
        <f>SUMPRODUCT(($Q$42:$Q$45=Q43)*($X$42:$X$45&gt;X43))</f>
        <v>0</v>
      </c>
      <c r="Z43" s="38">
        <f>SUMPRODUCT(($Q$42:$Q$45=Q43)*($X$42:$X$45=X43)*($V$42:$V$45&gt;V43))</f>
        <v>0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1</v>
      </c>
      <c r="AC43" s="39">
        <v>2</v>
      </c>
      <c r="AD43" s="45"/>
      <c r="AE43" s="21">
        <v>2</v>
      </c>
      <c r="AF43" s="83" t="str">
        <f>VLOOKUP($AE43,$O$42:$X$45,2,FALSE)</f>
        <v>Egito</v>
      </c>
      <c r="AG43" s="84">
        <f>VLOOKUP($AE43,$O$42:$X$45,3,FALSE)</f>
        <v>0</v>
      </c>
      <c r="AH43" s="84">
        <f>VLOOKUP($AE43,$O$42:$X$45,4,FALSE)</f>
        <v>0</v>
      </c>
      <c r="AI43" s="84">
        <f>VLOOKUP($AE43,$O$42:$X$45,5,FALSE)</f>
        <v>0</v>
      </c>
      <c r="AJ43" s="84">
        <f>VLOOKUP($AE43,$O$42:$X$45,6,FALSE)</f>
        <v>0</v>
      </c>
      <c r="AK43" s="84">
        <f>VLOOKUP($AE43,$O$42:$X$45,7,FALSE)</f>
        <v>0</v>
      </c>
      <c r="AL43" s="84">
        <f>VLOOKUP($AE43,$O$42:$X$45,8,FALSE)</f>
        <v>0</v>
      </c>
      <c r="AM43" s="84">
        <f>VLOOKUP($AE43,$O$42:$X$45,9,FALSE)</f>
        <v>0</v>
      </c>
      <c r="AN43" s="85">
        <f>VLOOKUP($AE43,$O$42:$X$45,10,FALSE)</f>
        <v>0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/>
      <c r="G44" s="84" t="s">
        <v>22</v>
      </c>
      <c r="H44" s="123"/>
      <c r="I44" s="107" t="str">
        <f>P42</f>
        <v>Bélgica</v>
      </c>
      <c r="J44" s="38" t="str">
        <f t="shared" si="46"/>
        <v>empate</v>
      </c>
      <c r="K44" s="38" t="str">
        <f t="shared" si="47"/>
        <v/>
      </c>
      <c r="L44" s="38" t="str">
        <f t="shared" si="48"/>
        <v/>
      </c>
      <c r="M44" s="39" t="str">
        <f t="shared" si="49"/>
        <v>empate</v>
      </c>
      <c r="N44" s="46"/>
      <c r="O44" s="47">
        <f>RANK(Q44,$Q$42:$Q$45)+SUM(Y44:AB44)</f>
        <v>3</v>
      </c>
      <c r="P44" s="49" t="str">
        <f>Sorteios!C24</f>
        <v>Irã</v>
      </c>
      <c r="Q44" s="38">
        <f t="shared" si="53"/>
        <v>0</v>
      </c>
      <c r="R44" s="38">
        <f t="shared" si="54"/>
        <v>0</v>
      </c>
      <c r="S44" s="38">
        <f>COUNTIF(J:J,P44)</f>
        <v>0</v>
      </c>
      <c r="T44" s="38">
        <f>COUNTIF(K:K,P44)+COUNTIF(L:L,P44)</f>
        <v>0</v>
      </c>
      <c r="U44" s="38">
        <f>COUNTIF(M:M,P44)</f>
        <v>0</v>
      </c>
      <c r="V44" s="38">
        <f>SUMIF(E:E,P44,F:F)+SUMIF(I:I,P44,H:H)</f>
        <v>0</v>
      </c>
      <c r="W44" s="38">
        <f>SUMIF(E:E,P44,H:H)+SUMIF(I:I,P44,F:F)</f>
        <v>0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2</v>
      </c>
      <c r="AC44" s="39">
        <v>3</v>
      </c>
      <c r="AD44" s="45"/>
      <c r="AE44" s="21">
        <v>3</v>
      </c>
      <c r="AF44" s="83" t="str">
        <f>VLOOKUP($AE44,$O$42:$X$45,2,FALSE)</f>
        <v>Irã</v>
      </c>
      <c r="AG44" s="84">
        <f>VLOOKUP($AE44,$O$42:$X$45,3,FALSE)</f>
        <v>0</v>
      </c>
      <c r="AH44" s="84">
        <f>VLOOKUP($AE44,$O$42:$X$45,4,FALSE)</f>
        <v>0</v>
      </c>
      <c r="AI44" s="84">
        <f>VLOOKUP($AE44,$O$42:$X$45,5,FALSE)</f>
        <v>0</v>
      </c>
      <c r="AJ44" s="84">
        <f>VLOOKUP($AE44,$O$42:$X$45,6,FALSE)</f>
        <v>0</v>
      </c>
      <c r="AK44" s="84">
        <f>VLOOKUP($AE44,$O$42:$X$45,7,FALSE)</f>
        <v>0</v>
      </c>
      <c r="AL44" s="84">
        <f>VLOOKUP($AE44,$O$42:$X$45,8,FALSE)</f>
        <v>0</v>
      </c>
      <c r="AM44" s="84">
        <f>VLOOKUP($AE44,$O$42:$X$45,9,FALSE)</f>
        <v>0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/>
      <c r="G45" s="87" t="s">
        <v>22</v>
      </c>
      <c r="H45" s="124"/>
      <c r="I45" s="109" t="str">
        <f>P44</f>
        <v>Irã</v>
      </c>
      <c r="J45" s="53" t="str">
        <f t="shared" si="46"/>
        <v>empate</v>
      </c>
      <c r="K45" s="53" t="str">
        <f t="shared" si="47"/>
        <v/>
      </c>
      <c r="L45" s="53" t="str">
        <f t="shared" si="48"/>
        <v/>
      </c>
      <c r="M45" s="54" t="str">
        <f t="shared" si="49"/>
        <v>empate</v>
      </c>
      <c r="N45" s="55"/>
      <c r="O45" s="56">
        <f>RANK(Q45,$Q$42:$Q$45)+SUM(Y45:AB45)</f>
        <v>4</v>
      </c>
      <c r="P45" s="49" t="str">
        <f>Sorteios!C25</f>
        <v>Nova Zelândia</v>
      </c>
      <c r="Q45" s="53">
        <f t="shared" si="53"/>
        <v>0</v>
      </c>
      <c r="R45" s="53">
        <f t="shared" si="54"/>
        <v>0</v>
      </c>
      <c r="S45" s="38">
        <f>COUNTIF(J:J,P45)</f>
        <v>0</v>
      </c>
      <c r="T45" s="38">
        <f>COUNTIF(K:K,P45)+COUNTIF(L:L,P45)</f>
        <v>0</v>
      </c>
      <c r="U45" s="38">
        <f>COUNTIF(M:M,P45)</f>
        <v>0</v>
      </c>
      <c r="V45" s="53">
        <f>SUMIF(E:E,P45,F:F)+SUMIF(I:I,P45,H:H)</f>
        <v>0</v>
      </c>
      <c r="W45" s="53">
        <f>SUMIF(E:E,P45,H:H)+SUMIF(I:I,P45,F:F)</f>
        <v>0</v>
      </c>
      <c r="X45" s="53">
        <f t="shared" si="55"/>
        <v>0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3</v>
      </c>
      <c r="AC45" s="54">
        <v>4</v>
      </c>
      <c r="AD45" s="57"/>
      <c r="AE45" s="22">
        <v>4</v>
      </c>
      <c r="AF45" s="86" t="str">
        <f>VLOOKUP($AE45,$O$42:$X$45,2,FALSE)</f>
        <v>Nova Zelândia</v>
      </c>
      <c r="AG45" s="87">
        <f>VLOOKUP($AE45,$O$42:$X$45,3,FALSE)</f>
        <v>0</v>
      </c>
      <c r="AH45" s="87">
        <f>VLOOKUP($AE45,$O$42:$X$45,4,FALSE)</f>
        <v>0</v>
      </c>
      <c r="AI45" s="87">
        <f>VLOOKUP($AE45,$O$42:$X$45,5,FALSE)</f>
        <v>0</v>
      </c>
      <c r="AJ45" s="87">
        <f>VLOOKUP($AE45,$O$42:$X$45,6,FALSE)</f>
        <v>0</v>
      </c>
      <c r="AK45" s="87">
        <f>VLOOKUP($AE45,$O$42:$X$45,7,FALSE)</f>
        <v>0</v>
      </c>
      <c r="AL45" s="87">
        <f>VLOOKUP($AE45,$O$42:$X$45,8,FALSE)</f>
        <v>0</v>
      </c>
      <c r="AM45" s="87">
        <f>VLOOKUP($AE45,$O$42:$X$45,9,FALSE)</f>
        <v>0</v>
      </c>
      <c r="AN45" s="88">
        <f>VLOOKUP($AE45,$O$42:$X$45,10,FALSE)</f>
        <v>0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/>
      <c r="G46" s="111" t="s">
        <v>22</v>
      </c>
      <c r="H46" s="125"/>
      <c r="I46" s="112" t="str">
        <f>P49</f>
        <v>Cabo Verde</v>
      </c>
      <c r="J46" s="59" t="str">
        <f t="shared" si="46"/>
        <v>empate</v>
      </c>
      <c r="K46" s="59" t="str">
        <f t="shared" si="47"/>
        <v/>
      </c>
      <c r="L46" s="59" t="str">
        <f t="shared" si="48"/>
        <v/>
      </c>
      <c r="M46" s="60" t="str">
        <f t="shared" si="49"/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/>
      <c r="G47" s="84" t="s">
        <v>22</v>
      </c>
      <c r="H47" s="123"/>
      <c r="I47" s="113" t="str">
        <f>P51</f>
        <v>Uruguai</v>
      </c>
      <c r="J47" s="38" t="str">
        <f t="shared" si="46"/>
        <v>empate</v>
      </c>
      <c r="K47" s="38" t="str">
        <f t="shared" si="47"/>
        <v/>
      </c>
      <c r="L47" s="38" t="str">
        <f t="shared" si="48"/>
        <v/>
      </c>
      <c r="M47" s="39" t="str">
        <f t="shared" si="49"/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/>
      <c r="G48" s="84" t="s">
        <v>22</v>
      </c>
      <c r="H48" s="123"/>
      <c r="I48" s="113" t="str">
        <f>P50</f>
        <v>Arábia Saudita</v>
      </c>
      <c r="J48" s="38" t="str">
        <f t="shared" si="46"/>
        <v>empate</v>
      </c>
      <c r="K48" s="38" t="str">
        <f t="shared" si="47"/>
        <v/>
      </c>
      <c r="L48" s="38" t="str">
        <f t="shared" si="48"/>
        <v/>
      </c>
      <c r="M48" s="39" t="str">
        <f t="shared" si="49"/>
        <v>empate</v>
      </c>
      <c r="N48" s="45"/>
      <c r="O48" s="47">
        <f>RANK(Q48,$Q$48:$Q$51)+SUM(Y48:AB48)</f>
        <v>1</v>
      </c>
      <c r="P48" s="49" t="str">
        <f>Sorteios!F22</f>
        <v>Espanha</v>
      </c>
      <c r="Q48" s="38">
        <f>(S48*3)+(T48*1)</f>
        <v>0</v>
      </c>
      <c r="R48" s="38">
        <f>SUM(S48:U48)</f>
        <v>0</v>
      </c>
      <c r="S48" s="38">
        <f>COUNTIF(J:J,P48)</f>
        <v>0</v>
      </c>
      <c r="T48" s="38">
        <f>COUNTIF(K:K,P48)+COUNTIF(L:L,P48)</f>
        <v>0</v>
      </c>
      <c r="U48" s="38">
        <f>COUNTIF(M:M,P48)</f>
        <v>0</v>
      </c>
      <c r="V48" s="38">
        <f>SUMIF(E:E,P48,F:F)+SUMIF(I:I,P48,H:H)</f>
        <v>0</v>
      </c>
      <c r="W48" s="38">
        <f>SUMIF(E:E,P48,H:H)+SUMIF(I:I,P48,F:F)</f>
        <v>0</v>
      </c>
      <c r="X48" s="38">
        <f>V48-W48</f>
        <v>0</v>
      </c>
      <c r="Y48" s="38">
        <f>SUMPRODUCT(($Q$48:$Q$51=Q48)*($X$48:$X$51&gt;X48))</f>
        <v>0</v>
      </c>
      <c r="Z48" s="38">
        <f>SUMPRODUCT(($Q$48:$Q$51=Q48)*($X$48:$X$51=X48)*($V$48:$V$51&gt;V48))</f>
        <v>0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Espanha</v>
      </c>
      <c r="AG48" s="84">
        <f>VLOOKUP($AE48,$O$48:$X$51,3,FALSE)</f>
        <v>0</v>
      </c>
      <c r="AH48" s="84">
        <f>VLOOKUP($AE48,$O$48:$X$51,4,FALSE)</f>
        <v>0</v>
      </c>
      <c r="AI48" s="84">
        <f>VLOOKUP($AE48,$O$48:$X$51,5,FALSE)</f>
        <v>0</v>
      </c>
      <c r="AJ48" s="84">
        <f>VLOOKUP($AE48,$O$48:$X$51,6,FALSE)</f>
        <v>0</v>
      </c>
      <c r="AK48" s="84">
        <f>VLOOKUP($AE48,$O$48:$X$51,7,FALSE)</f>
        <v>0</v>
      </c>
      <c r="AL48" s="84">
        <f>VLOOKUP($AE48,$O$48:$X$51,8,FALSE)</f>
        <v>0</v>
      </c>
      <c r="AM48" s="84">
        <f>VLOOKUP($AE48,$O$48:$X$51,9,FALSE)</f>
        <v>0</v>
      </c>
      <c r="AN48" s="85">
        <f>VLOOKUP($AE48,$O$48:$X$51,10,FALSE)</f>
        <v>0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/>
      <c r="G49" s="84" t="s">
        <v>22</v>
      </c>
      <c r="H49" s="123"/>
      <c r="I49" s="113" t="str">
        <f>P49</f>
        <v>Cabo Verde</v>
      </c>
      <c r="J49" s="38" t="str">
        <f t="shared" si="46"/>
        <v>empate</v>
      </c>
      <c r="K49" s="38" t="str">
        <f t="shared" si="47"/>
        <v/>
      </c>
      <c r="L49" s="38" t="str">
        <f t="shared" si="48"/>
        <v/>
      </c>
      <c r="M49" s="39" t="str">
        <f t="shared" si="49"/>
        <v>empate</v>
      </c>
      <c r="N49" s="45"/>
      <c r="O49" s="47">
        <f>RANK(Q49,$Q$48:$Q$51)+SUM(Y49:AB49)</f>
        <v>2</v>
      </c>
      <c r="P49" s="49" t="str">
        <f>Sorteios!F23</f>
        <v>Cabo Verde</v>
      </c>
      <c r="Q49" s="38">
        <f t="shared" ref="Q49:Q51" si="56">(S49*3)+(T49*1)</f>
        <v>0</v>
      </c>
      <c r="R49" s="38">
        <f t="shared" ref="R49:R51" si="57">SUM(S49:U49)</f>
        <v>0</v>
      </c>
      <c r="S49" s="38">
        <f>COUNTIF(J:J,P49)</f>
        <v>0</v>
      </c>
      <c r="T49" s="38">
        <f>COUNTIF(K:K,P49)+COUNTIF(L:L,P49)</f>
        <v>0</v>
      </c>
      <c r="U49" s="38">
        <f>COUNTIF(M:M,P49)</f>
        <v>0</v>
      </c>
      <c r="V49" s="38">
        <f>SUMIF(E:E,P49,F:F)+SUMIF(I:I,P49,H:H)</f>
        <v>0</v>
      </c>
      <c r="W49" s="38">
        <f>SUMIF(E:E,P49,H:H)+SUMIF(I:I,P49,F:F)</f>
        <v>0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0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1</v>
      </c>
      <c r="AC49" s="39">
        <v>2</v>
      </c>
      <c r="AD49" s="45"/>
      <c r="AE49" s="21">
        <v>2</v>
      </c>
      <c r="AF49" s="83" t="str">
        <f>VLOOKUP($AE49,$O$48:$X$51,2,FALSE)</f>
        <v>Cabo Verde</v>
      </c>
      <c r="AG49" s="84">
        <f>VLOOKUP($AE49,$O$48:$X$51,3,FALSE)</f>
        <v>0</v>
      </c>
      <c r="AH49" s="84">
        <f>VLOOKUP($AE49,$O$48:$X$51,4,FALSE)</f>
        <v>0</v>
      </c>
      <c r="AI49" s="84">
        <f>VLOOKUP($AE49,$O$48:$X$51,5,FALSE)</f>
        <v>0</v>
      </c>
      <c r="AJ49" s="84">
        <f>VLOOKUP($AE49,$O$48:$X$51,6,FALSE)</f>
        <v>0</v>
      </c>
      <c r="AK49" s="84">
        <f>VLOOKUP($AE49,$O$48:$X$51,7,FALSE)</f>
        <v>0</v>
      </c>
      <c r="AL49" s="84">
        <f>VLOOKUP($AE49,$O$48:$X$51,8,FALSE)</f>
        <v>0</v>
      </c>
      <c r="AM49" s="84">
        <f>VLOOKUP($AE49,$O$48:$X$51,9,FALSE)</f>
        <v>0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/>
      <c r="G50" s="84" t="s">
        <v>22</v>
      </c>
      <c r="H50" s="123"/>
      <c r="I50" s="113" t="str">
        <f>P48</f>
        <v>Espanha</v>
      </c>
      <c r="J50" s="38" t="str">
        <f t="shared" si="46"/>
        <v>empate</v>
      </c>
      <c r="K50" s="38" t="str">
        <f t="shared" si="47"/>
        <v/>
      </c>
      <c r="L50" s="38" t="str">
        <f t="shared" si="48"/>
        <v/>
      </c>
      <c r="M50" s="39" t="str">
        <f t="shared" si="49"/>
        <v>empate</v>
      </c>
      <c r="N50" s="45"/>
      <c r="O50" s="47">
        <f>RANK(Q50,$Q$48:$Q$51)+SUM(Y50:AB50)</f>
        <v>3</v>
      </c>
      <c r="P50" s="49" t="str">
        <f>Sorteios!F24</f>
        <v>Arábia Saudita</v>
      </c>
      <c r="Q50" s="38">
        <f t="shared" si="56"/>
        <v>0</v>
      </c>
      <c r="R50" s="38">
        <f t="shared" si="57"/>
        <v>0</v>
      </c>
      <c r="S50" s="38">
        <f>COUNTIF(J:J,P50)</f>
        <v>0</v>
      </c>
      <c r="T50" s="38">
        <f>COUNTIF(K:K,P50)+COUNTIF(L:L,P50)</f>
        <v>0</v>
      </c>
      <c r="U50" s="38">
        <f>COUNTIF(M:M,P50)</f>
        <v>0</v>
      </c>
      <c r="V50" s="38">
        <f>SUMIF(E:E,P50,F:F)+SUMIF(I:I,P50,H:H)</f>
        <v>0</v>
      </c>
      <c r="W50" s="38">
        <f>SUMIF(E:E,P50,H:H)+SUMIF(I:I,P50,F:F)</f>
        <v>0</v>
      </c>
      <c r="X50" s="38">
        <f t="shared" si="58"/>
        <v>0</v>
      </c>
      <c r="Y50" s="38">
        <f>SUMPRODUCT(($Q$48:$Q$51=Q50)*($X$48:$X$51&gt;X50))</f>
        <v>0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2</v>
      </c>
      <c r="AC50" s="39">
        <v>3</v>
      </c>
      <c r="AD50" s="45"/>
      <c r="AE50" s="21">
        <v>3</v>
      </c>
      <c r="AF50" s="83" t="str">
        <f>VLOOKUP($AE50,$O$48:$X$51,2,FALSE)</f>
        <v>Arábia Saudita</v>
      </c>
      <c r="AG50" s="84">
        <f>VLOOKUP($AE50,$O$48:$X$51,3,FALSE)</f>
        <v>0</v>
      </c>
      <c r="AH50" s="84">
        <f>VLOOKUP($AE50,$O$48:$X$51,4,FALSE)</f>
        <v>0</v>
      </c>
      <c r="AI50" s="84">
        <f>VLOOKUP($AE50,$O$48:$X$51,5,FALSE)</f>
        <v>0</v>
      </c>
      <c r="AJ50" s="84">
        <f>VLOOKUP($AE50,$O$48:$X$51,6,FALSE)</f>
        <v>0</v>
      </c>
      <c r="AK50" s="84">
        <f>VLOOKUP($AE50,$O$48:$X$51,7,FALSE)</f>
        <v>0</v>
      </c>
      <c r="AL50" s="84">
        <f>VLOOKUP($AE50,$O$48:$X$51,8,FALSE)</f>
        <v>0</v>
      </c>
      <c r="AM50" s="84">
        <f>VLOOKUP($AE50,$O$48:$X$51,9,FALSE)</f>
        <v>0</v>
      </c>
      <c r="AN50" s="85">
        <f>VLOOKUP($AE50,$O$48:$X$51,10,FALSE)</f>
        <v>0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/>
      <c r="G51" s="118" t="s">
        <v>22</v>
      </c>
      <c r="H51" s="126"/>
      <c r="I51" s="119" t="str">
        <f>P50</f>
        <v>Arábia Saudita</v>
      </c>
      <c r="J51" s="66" t="str">
        <f t="shared" si="46"/>
        <v>empate</v>
      </c>
      <c r="K51" s="66" t="str">
        <f t="shared" si="47"/>
        <v/>
      </c>
      <c r="L51" s="66" t="str">
        <f t="shared" si="48"/>
        <v/>
      </c>
      <c r="M51" s="67" t="str">
        <f t="shared" si="49"/>
        <v>empate</v>
      </c>
      <c r="N51" s="45"/>
      <c r="O51" s="68">
        <f>RANK(Q51,$Q$48:$Q$51)+SUM(Y51:AB51)</f>
        <v>4</v>
      </c>
      <c r="P51" s="49" t="str">
        <f>Sorteios!F25</f>
        <v>Uruguai</v>
      </c>
      <c r="Q51" s="53">
        <f t="shared" si="56"/>
        <v>0</v>
      </c>
      <c r="R51" s="53">
        <f t="shared" si="57"/>
        <v>0</v>
      </c>
      <c r="S51" s="38">
        <f>COUNTIF(J:J,P51)</f>
        <v>0</v>
      </c>
      <c r="T51" s="38">
        <f>COUNTIF(K:K,P51)+COUNTIF(L:L,P51)</f>
        <v>0</v>
      </c>
      <c r="U51" s="38">
        <f>COUNTIF(M:M,P51)</f>
        <v>0</v>
      </c>
      <c r="V51" s="53">
        <f>SUMIF(E:E,P51,F:F)+SUMIF(I:I,P51,H:H)</f>
        <v>0</v>
      </c>
      <c r="W51" s="53">
        <f>SUMIF(E:E,P51,H:H)+SUMIF(I:I,P51,F:F)</f>
        <v>0</v>
      </c>
      <c r="X51" s="53">
        <f t="shared" si="58"/>
        <v>0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3</v>
      </c>
      <c r="AC51" s="54">
        <v>4</v>
      </c>
      <c r="AD51" s="57"/>
      <c r="AE51" s="22">
        <v>4</v>
      </c>
      <c r="AF51" s="86" t="str">
        <f>VLOOKUP($AE51,$O$48:$X$51,2,FALSE)</f>
        <v>Uruguai</v>
      </c>
      <c r="AG51" s="87">
        <f>VLOOKUP($AE51,$O$48:$X$51,3,FALSE)</f>
        <v>0</v>
      </c>
      <c r="AH51" s="87">
        <f>VLOOKUP($AE51,$O$48:$X$51,4,FALSE)</f>
        <v>0</v>
      </c>
      <c r="AI51" s="87">
        <f>VLOOKUP($AE51,$O$48:$X$51,5,FALSE)</f>
        <v>0</v>
      </c>
      <c r="AJ51" s="87">
        <f>VLOOKUP($AE51,$O$48:$X$51,6,FALSE)</f>
        <v>0</v>
      </c>
      <c r="AK51" s="87">
        <f>VLOOKUP($AE51,$O$48:$X$51,7,FALSE)</f>
        <v>0</v>
      </c>
      <c r="AL51" s="87">
        <f>VLOOKUP($AE51,$O$48:$X$51,8,FALSE)</f>
        <v>0</v>
      </c>
      <c r="AM51" s="87">
        <f>VLOOKUP($AE51,$O$48:$X$51,9,FALSE)</f>
        <v>0</v>
      </c>
      <c r="AN51" s="88">
        <f>VLOOKUP($AE51,$O$48:$X$51,10,FALSE)</f>
        <v>0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/>
      <c r="G52" s="111" t="s">
        <v>22</v>
      </c>
      <c r="H52" s="125"/>
      <c r="I52" s="116" t="str">
        <f>P55</f>
        <v>Senegal</v>
      </c>
      <c r="J52" s="59" t="str">
        <f t="shared" si="46"/>
        <v>empate</v>
      </c>
      <c r="K52" s="59" t="str">
        <f t="shared" si="47"/>
        <v/>
      </c>
      <c r="L52" s="59" t="str">
        <f t="shared" si="48"/>
        <v/>
      </c>
      <c r="M52" s="60" t="str">
        <f t="shared" si="49"/>
        <v>empate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/>
      <c r="G53" s="84" t="s">
        <v>22</v>
      </c>
      <c r="H53" s="123"/>
      <c r="I53" s="107" t="str">
        <f>P57</f>
        <v>Noruega</v>
      </c>
      <c r="J53" s="38" t="str">
        <f t="shared" si="46"/>
        <v>empate</v>
      </c>
      <c r="K53" s="38" t="str">
        <f t="shared" si="47"/>
        <v/>
      </c>
      <c r="L53" s="38" t="str">
        <f t="shared" si="48"/>
        <v/>
      </c>
      <c r="M53" s="39" t="str">
        <f t="shared" si="49"/>
        <v>empate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/>
      <c r="G54" s="84" t="s">
        <v>22</v>
      </c>
      <c r="H54" s="123"/>
      <c r="I54" s="107" t="str">
        <f>P56</f>
        <v>Iraque</v>
      </c>
      <c r="J54" s="38" t="str">
        <f t="shared" si="46"/>
        <v>empate</v>
      </c>
      <c r="K54" s="38" t="str">
        <f t="shared" si="47"/>
        <v/>
      </c>
      <c r="L54" s="38" t="str">
        <f t="shared" si="48"/>
        <v/>
      </c>
      <c r="M54" s="39" t="str">
        <f t="shared" si="49"/>
        <v>empate</v>
      </c>
      <c r="N54" s="46"/>
      <c r="O54" s="47">
        <f>RANK(Q54,$Q$54:$Q$57)+SUM(Y54:AB54)</f>
        <v>1</v>
      </c>
      <c r="P54" s="49" t="str">
        <f>Sorteios!I22</f>
        <v>França</v>
      </c>
      <c r="Q54" s="38">
        <f>(S54*3)+(T54*1)</f>
        <v>0</v>
      </c>
      <c r="R54" s="38">
        <f>SUM(S54:U54)</f>
        <v>0</v>
      </c>
      <c r="S54" s="38">
        <f>COUNTIF(J:J,P54)</f>
        <v>0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0</v>
      </c>
      <c r="W54" s="38">
        <f>SUMIF(E:E,P54,H:H)+SUMIF(I:I,P54,F:F)</f>
        <v>0</v>
      </c>
      <c r="X54" s="38">
        <f>V54-W54</f>
        <v>0</v>
      </c>
      <c r="Y54" s="38">
        <f>SUMPRODUCT(($Q$54:$Q$57=Q54)*($X$54:$X$57&gt;X54))</f>
        <v>0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França</v>
      </c>
      <c r="AG54" s="84">
        <f>VLOOKUP($AE54,$O$54:$X$57,3,FALSE)</f>
        <v>0</v>
      </c>
      <c r="AH54" s="84">
        <f>VLOOKUP($AE54,$O$54:$X$57,4,FALSE)</f>
        <v>0</v>
      </c>
      <c r="AI54" s="84">
        <f>VLOOKUP($AE54,$O$54:$X$57,5,FALSE)</f>
        <v>0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0</v>
      </c>
      <c r="AM54" s="84">
        <f>VLOOKUP($AE54,$O$54:$X$57,9,FALSE)</f>
        <v>0</v>
      </c>
      <c r="AN54" s="85">
        <f>VLOOKUP($AE54,$O$54:$X$57,10,FALSE)</f>
        <v>0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/>
      <c r="G55" s="84" t="s">
        <v>22</v>
      </c>
      <c r="H55" s="123"/>
      <c r="I55" s="107" t="str">
        <f>P55</f>
        <v>Senegal</v>
      </c>
      <c r="J55" s="38" t="str">
        <f t="shared" si="46"/>
        <v>empate</v>
      </c>
      <c r="K55" s="38" t="str">
        <f t="shared" si="47"/>
        <v/>
      </c>
      <c r="L55" s="38" t="str">
        <f t="shared" si="48"/>
        <v/>
      </c>
      <c r="M55" s="39" t="str">
        <f t="shared" si="49"/>
        <v>empate</v>
      </c>
      <c r="N55" s="46"/>
      <c r="O55" s="47">
        <f>RANK(Q55,$Q$54:$Q$57)+SUM(Y55:AB55)</f>
        <v>2</v>
      </c>
      <c r="P55" s="49" t="str">
        <f>Sorteios!I23</f>
        <v>Senegal</v>
      </c>
      <c r="Q55" s="38">
        <f t="shared" ref="Q55:Q57" si="59">(S55*3)+(T55*1)</f>
        <v>0</v>
      </c>
      <c r="R55" s="38">
        <f t="shared" ref="R55:R57" si="60">SUM(S55:U55)</f>
        <v>0</v>
      </c>
      <c r="S55" s="38">
        <f>COUNTIF(J:J,P55)</f>
        <v>0</v>
      </c>
      <c r="T55" s="38">
        <f>COUNTIF(K:K,P55)+COUNTIF(L:L,P55)</f>
        <v>0</v>
      </c>
      <c r="U55" s="38">
        <f>COUNTIF(M:M,P55)</f>
        <v>0</v>
      </c>
      <c r="V55" s="38">
        <f>SUMIF(E:E,P55,F:F)+SUMIF(I:I,P55,H:H)</f>
        <v>0</v>
      </c>
      <c r="W55" s="38">
        <f>SUMIF(E:E,P55,H:H)+SUMIF(I:I,P55,F:F)</f>
        <v>0</v>
      </c>
      <c r="X55" s="38">
        <f t="shared" ref="X55:X57" si="61">V55-W55</f>
        <v>0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1</v>
      </c>
      <c r="AC55" s="39">
        <v>2</v>
      </c>
      <c r="AD55" s="45"/>
      <c r="AE55" s="21">
        <v>2</v>
      </c>
      <c r="AF55" s="83" t="str">
        <f>VLOOKUP($AE55,$O$54:$X$57,2,FALSE)</f>
        <v>Senegal</v>
      </c>
      <c r="AG55" s="84">
        <f>VLOOKUP($AE55,$O$54:$X$57,3,FALSE)</f>
        <v>0</v>
      </c>
      <c r="AH55" s="84">
        <f>VLOOKUP($AE55,$O$54:$X$57,4,FALSE)</f>
        <v>0</v>
      </c>
      <c r="AI55" s="84">
        <f>VLOOKUP($AE55,$O$54:$X$57,5,FALSE)</f>
        <v>0</v>
      </c>
      <c r="AJ55" s="84">
        <f>VLOOKUP($AE55,$O$54:$X$57,6,FALSE)</f>
        <v>0</v>
      </c>
      <c r="AK55" s="84">
        <f>VLOOKUP($AE55,$O$54:$X$57,7,FALSE)</f>
        <v>0</v>
      </c>
      <c r="AL55" s="84">
        <f>VLOOKUP($AE55,$O$54:$X$57,8,FALSE)</f>
        <v>0</v>
      </c>
      <c r="AM55" s="84">
        <f>VLOOKUP($AE55,$O$54:$X$57,9,FALSE)</f>
        <v>0</v>
      </c>
      <c r="AN55" s="85">
        <f>VLOOKUP($AE55,$O$54:$X$57,10,FALSE)</f>
        <v>0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/>
      <c r="G56" s="84" t="s">
        <v>22</v>
      </c>
      <c r="H56" s="123"/>
      <c r="I56" s="107" t="str">
        <f>P54</f>
        <v>França</v>
      </c>
      <c r="J56" s="38" t="str">
        <f t="shared" si="46"/>
        <v>empate</v>
      </c>
      <c r="K56" s="38" t="str">
        <f t="shared" si="47"/>
        <v/>
      </c>
      <c r="L56" s="38" t="str">
        <f t="shared" si="48"/>
        <v/>
      </c>
      <c r="M56" s="39" t="str">
        <f t="shared" si="49"/>
        <v>empate</v>
      </c>
      <c r="N56" s="46"/>
      <c r="O56" s="47">
        <f>RANK(Q56,$Q$54:$Q$57)+SUM(Y56:AB56)</f>
        <v>3</v>
      </c>
      <c r="P56" s="49" t="str">
        <f>Sorteios!I24</f>
        <v>Iraque</v>
      </c>
      <c r="Q56" s="38">
        <f t="shared" si="59"/>
        <v>0</v>
      </c>
      <c r="R56" s="38">
        <f t="shared" si="60"/>
        <v>0</v>
      </c>
      <c r="S56" s="38">
        <f>COUNTIF(J:J,P56)</f>
        <v>0</v>
      </c>
      <c r="T56" s="38">
        <f>COUNTIF(K:K,P56)+COUNTIF(L:L,P56)</f>
        <v>0</v>
      </c>
      <c r="U56" s="38">
        <f>COUNTIF(M:M,P56)</f>
        <v>0</v>
      </c>
      <c r="V56" s="38">
        <f>SUMIF(E:E,P56,F:F)+SUMIF(I:I,P56,H:H)</f>
        <v>0</v>
      </c>
      <c r="W56" s="38">
        <f>SUMIF(E:E,P56,H:H)+SUMIF(I:I,P56,F:F)</f>
        <v>0</v>
      </c>
      <c r="X56" s="38">
        <f t="shared" si="61"/>
        <v>0</v>
      </c>
      <c r="Y56" s="38">
        <f>SUMPRODUCT(($Q$54:$Q$57=Q56)*($X$54:$X$57&gt;X56))</f>
        <v>0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2</v>
      </c>
      <c r="AC56" s="39">
        <v>3</v>
      </c>
      <c r="AD56" s="45"/>
      <c r="AE56" s="21">
        <v>3</v>
      </c>
      <c r="AF56" s="83" t="str">
        <f>VLOOKUP($AE56,$O$54:$X$57,2,FALSE)</f>
        <v>Iraque</v>
      </c>
      <c r="AG56" s="84">
        <f>VLOOKUP($AE56,$O$54:$X$57,3,FALSE)</f>
        <v>0</v>
      </c>
      <c r="AH56" s="84">
        <f>VLOOKUP($AE56,$O$54:$X$57,4,FALSE)</f>
        <v>0</v>
      </c>
      <c r="AI56" s="84">
        <f>VLOOKUP($AE56,$O$54:$X$57,5,FALSE)</f>
        <v>0</v>
      </c>
      <c r="AJ56" s="84">
        <f>VLOOKUP($AE56,$O$54:$X$57,6,FALSE)</f>
        <v>0</v>
      </c>
      <c r="AK56" s="84">
        <f>VLOOKUP($AE56,$O$54:$X$57,7,FALSE)</f>
        <v>0</v>
      </c>
      <c r="AL56" s="84">
        <f>VLOOKUP($AE56,$O$54:$X$57,8,FALSE)</f>
        <v>0</v>
      </c>
      <c r="AM56" s="84">
        <f>VLOOKUP($AE56,$O$54:$X$57,9,FALSE)</f>
        <v>0</v>
      </c>
      <c r="AN56" s="85">
        <f>VLOOKUP($AE56,$O$54:$X$57,10,FALSE)</f>
        <v>0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/>
      <c r="G57" s="87" t="s">
        <v>22</v>
      </c>
      <c r="H57" s="124"/>
      <c r="I57" s="109" t="str">
        <f>P56</f>
        <v>Iraque</v>
      </c>
      <c r="J57" s="53" t="str">
        <f t="shared" si="46"/>
        <v>empate</v>
      </c>
      <c r="K57" s="53" t="str">
        <f t="shared" si="47"/>
        <v/>
      </c>
      <c r="L57" s="53" t="str">
        <f t="shared" si="48"/>
        <v/>
      </c>
      <c r="M57" s="54" t="str">
        <f t="shared" si="49"/>
        <v>empate</v>
      </c>
      <c r="N57" s="55"/>
      <c r="O57" s="47">
        <f>RANK(Q57,$Q$54:$Q$57)+SUM(Y57:AB57)</f>
        <v>4</v>
      </c>
      <c r="P57" s="69" t="str">
        <f>Sorteios!I25</f>
        <v>Noruega</v>
      </c>
      <c r="Q57" s="66">
        <f t="shared" si="59"/>
        <v>0</v>
      </c>
      <c r="R57" s="66">
        <f t="shared" si="60"/>
        <v>0</v>
      </c>
      <c r="S57" s="66">
        <f>COUNTIF(J:J,P57)</f>
        <v>0</v>
      </c>
      <c r="T57" s="66">
        <f>COUNTIF(K:K,P57)+COUNTIF(L:L,P57)</f>
        <v>0</v>
      </c>
      <c r="U57" s="66">
        <f>COUNTIF(M:M,P57)</f>
        <v>0</v>
      </c>
      <c r="V57" s="66">
        <f>SUMIF(E:E,P57,F:F)+SUMIF(I:I,P57,H:H)</f>
        <v>0</v>
      </c>
      <c r="W57" s="66">
        <f>SUMIF(E:E,P57,H:H)+SUMIF(I:I,P57,F:F)</f>
        <v>0</v>
      </c>
      <c r="X57" s="66">
        <f t="shared" si="61"/>
        <v>0</v>
      </c>
      <c r="Y57" s="66">
        <f>SUMPRODUCT(($Q$54:$Q$57=Q57)*($X$54:$X$57&gt;X57))</f>
        <v>0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3</v>
      </c>
      <c r="AC57" s="67">
        <v>4</v>
      </c>
      <c r="AD57" s="45"/>
      <c r="AE57" s="22">
        <v>4</v>
      </c>
      <c r="AF57" s="86" t="str">
        <f>VLOOKUP($AE57,$O$54:$X$57,2,FALSE)</f>
        <v>Noruega</v>
      </c>
      <c r="AG57" s="87">
        <f>VLOOKUP($AE57,$O$54:$X$57,3,FALSE)</f>
        <v>0</v>
      </c>
      <c r="AH57" s="87">
        <f>VLOOKUP($AE57,$O$54:$X$57,4,FALSE)</f>
        <v>0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0</v>
      </c>
      <c r="AL57" s="87">
        <f>VLOOKUP($AE57,$O$54:$X$57,8,FALSE)</f>
        <v>0</v>
      </c>
      <c r="AM57" s="87">
        <f>VLOOKUP($AE57,$O$54:$X$57,9,FALSE)</f>
        <v>0</v>
      </c>
      <c r="AN57" s="88">
        <f>VLOOKUP($AE57,$O$54:$X$57,10,FALSE)</f>
        <v>0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/>
      <c r="G58" s="121" t="s">
        <v>22</v>
      </c>
      <c r="H58" s="127"/>
      <c r="I58" s="122" t="str">
        <f>P61</f>
        <v>Argélia</v>
      </c>
      <c r="J58" s="71" t="str">
        <f t="shared" si="46"/>
        <v>empate</v>
      </c>
      <c r="K58" s="71" t="str">
        <f t="shared" si="47"/>
        <v/>
      </c>
      <c r="L58" s="71" t="str">
        <f t="shared" si="48"/>
        <v/>
      </c>
      <c r="M58" s="72" t="str">
        <f t="shared" si="49"/>
        <v>empate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/>
      <c r="G59" s="84" t="s">
        <v>22</v>
      </c>
      <c r="H59" s="123"/>
      <c r="I59" s="113" t="str">
        <f>P63</f>
        <v>Jordânia</v>
      </c>
      <c r="J59" s="38" t="str">
        <f t="shared" si="46"/>
        <v>empate</v>
      </c>
      <c r="K59" s="38" t="str">
        <f t="shared" si="47"/>
        <v/>
      </c>
      <c r="L59" s="38" t="str">
        <f t="shared" si="48"/>
        <v/>
      </c>
      <c r="M59" s="39" t="str">
        <f t="shared" si="49"/>
        <v>empate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/>
      <c r="G60" s="84" t="s">
        <v>22</v>
      </c>
      <c r="H60" s="123"/>
      <c r="I60" s="113" t="str">
        <f>P62</f>
        <v>Áustria</v>
      </c>
      <c r="J60" s="38" t="str">
        <f t="shared" si="46"/>
        <v>empate</v>
      </c>
      <c r="K60" s="38" t="str">
        <f t="shared" si="47"/>
        <v/>
      </c>
      <c r="L60" s="38" t="str">
        <f t="shared" si="48"/>
        <v/>
      </c>
      <c r="M60" s="39" t="str">
        <f t="shared" si="49"/>
        <v>empate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0</v>
      </c>
      <c r="R60" s="38">
        <f>SUM(S60:U60)</f>
        <v>0</v>
      </c>
      <c r="S60" s="38">
        <f>COUNTIF(J:J,P60)</f>
        <v>0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0</v>
      </c>
      <c r="W60" s="38">
        <f>SUMIF(E:E,P60,H:H)+SUMIF(I:I,P60,F:F)</f>
        <v>0</v>
      </c>
      <c r="X60" s="38">
        <f>V60-W60</f>
        <v>0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0</v>
      </c>
      <c r="AH60" s="84">
        <f>VLOOKUP($AE60,$O$60:$X$63,4,FALSE)</f>
        <v>0</v>
      </c>
      <c r="AI60" s="84">
        <f>VLOOKUP($AE60,$O$60:$X$63,5,FALSE)</f>
        <v>0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0</v>
      </c>
      <c r="AM60" s="84">
        <f>VLOOKUP($AE60,$O$60:$X$63,9,FALSE)</f>
        <v>0</v>
      </c>
      <c r="AN60" s="85">
        <f>VLOOKUP($AE60,$O$60:$X$63,10,FALSE)</f>
        <v>0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/>
      <c r="G61" s="84" t="s">
        <v>22</v>
      </c>
      <c r="H61" s="123"/>
      <c r="I61" s="113" t="str">
        <f>P61</f>
        <v>Argélia</v>
      </c>
      <c r="J61" s="38" t="str">
        <f t="shared" si="46"/>
        <v>empate</v>
      </c>
      <c r="K61" s="38" t="str">
        <f t="shared" si="47"/>
        <v/>
      </c>
      <c r="L61" s="38" t="str">
        <f t="shared" si="48"/>
        <v/>
      </c>
      <c r="M61" s="39" t="str">
        <f t="shared" si="49"/>
        <v>empate</v>
      </c>
      <c r="N61" s="45"/>
      <c r="O61" s="47">
        <f>RANK(Q61,$Q$60:$Q$63)+SUM(Y61:AB61)</f>
        <v>2</v>
      </c>
      <c r="P61" s="49" t="str">
        <f>Sorteios!C31</f>
        <v>Argélia</v>
      </c>
      <c r="Q61" s="38">
        <f t="shared" ref="Q61:Q63" si="62">(S61*3)+(T61*1)</f>
        <v>0</v>
      </c>
      <c r="R61" s="38">
        <f t="shared" ref="R61:R63" si="63">SUM(S61:U61)</f>
        <v>0</v>
      </c>
      <c r="S61" s="38">
        <f>COUNTIF(J:J,P61)</f>
        <v>0</v>
      </c>
      <c r="T61" s="38">
        <f>COUNTIF(K:K,P61)+COUNTIF(L:L,P61)</f>
        <v>0</v>
      </c>
      <c r="U61" s="38">
        <f>COUNTIF(M:M,P61)</f>
        <v>0</v>
      </c>
      <c r="V61" s="38">
        <f>SUMIF(E:E,P61,F:F)+SUMIF(I:I,P61,H:H)</f>
        <v>0</v>
      </c>
      <c r="W61" s="38">
        <f>SUMIF(E:E,P61,H:H)+SUMIF(I:I,P61,F:F)</f>
        <v>0</v>
      </c>
      <c r="X61" s="38">
        <f t="shared" ref="X61:X63" si="64">V61-W61</f>
        <v>0</v>
      </c>
      <c r="Y61" s="38">
        <f>SUMPRODUCT(($Q$60:$Q$63=Q61)*($X$60:$X$63&gt;X61))</f>
        <v>0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1</v>
      </c>
      <c r="AC61" s="39">
        <v>2</v>
      </c>
      <c r="AD61" s="45"/>
      <c r="AE61" s="21">
        <v>2</v>
      </c>
      <c r="AF61" s="83" t="str">
        <f>VLOOKUP($AE61,$O$60:$X$63,2,FALSE)</f>
        <v>Argélia</v>
      </c>
      <c r="AG61" s="84">
        <f>VLOOKUP($AE61,$O$60:$X$63,3,FALSE)</f>
        <v>0</v>
      </c>
      <c r="AH61" s="84">
        <f>VLOOKUP($AE61,$O$60:$X$63,4,FALSE)</f>
        <v>0</v>
      </c>
      <c r="AI61" s="84">
        <f>VLOOKUP($AE61,$O$60:$X$63,5,FALSE)</f>
        <v>0</v>
      </c>
      <c r="AJ61" s="84">
        <f>VLOOKUP($AE61,$O$60:$X$63,6,FALSE)</f>
        <v>0</v>
      </c>
      <c r="AK61" s="84">
        <f>VLOOKUP($AE61,$O$60:$X$63,7,FALSE)</f>
        <v>0</v>
      </c>
      <c r="AL61" s="84">
        <f>VLOOKUP($AE61,$O$60:$X$63,8,FALSE)</f>
        <v>0</v>
      </c>
      <c r="AM61" s="84">
        <f>VLOOKUP($AE61,$O$60:$X$63,9,FALSE)</f>
        <v>0</v>
      </c>
      <c r="AN61" s="85">
        <f>VLOOKUP($AE61,$O$60:$X$63,10,FALSE)</f>
        <v>0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/>
      <c r="G62" s="84" t="s">
        <v>22</v>
      </c>
      <c r="H62" s="123"/>
      <c r="I62" s="113" t="str">
        <f>P60</f>
        <v>Argentina</v>
      </c>
      <c r="J62" s="38" t="str">
        <f t="shared" si="46"/>
        <v>empate</v>
      </c>
      <c r="K62" s="38" t="str">
        <f t="shared" si="47"/>
        <v/>
      </c>
      <c r="L62" s="38" t="str">
        <f t="shared" si="48"/>
        <v/>
      </c>
      <c r="M62" s="39" t="str">
        <f t="shared" si="49"/>
        <v>empate</v>
      </c>
      <c r="N62" s="45"/>
      <c r="O62" s="47">
        <f>RANK(Q62,$Q$60:$Q$63)+SUM(Y62:AB62)</f>
        <v>3</v>
      </c>
      <c r="P62" s="49" t="str">
        <f>Sorteios!C32</f>
        <v>Áustria</v>
      </c>
      <c r="Q62" s="38">
        <f>(S62*3)+(T62*1)</f>
        <v>0</v>
      </c>
      <c r="R62" s="38">
        <f>SUM(S62:U62)</f>
        <v>0</v>
      </c>
      <c r="S62" s="38">
        <f>COUNTIF(J:J,P62)</f>
        <v>0</v>
      </c>
      <c r="T62" s="38">
        <f>COUNTIF(K:K,P62)+COUNTIF(L:L,P62)</f>
        <v>0</v>
      </c>
      <c r="U62" s="38">
        <f>COUNTIF(M:M,P62)</f>
        <v>0</v>
      </c>
      <c r="V62" s="38">
        <f>SUMIF(E:E,P62,F:F)+SUMIF(I:I,P62,H:H)</f>
        <v>0</v>
      </c>
      <c r="W62" s="38">
        <f>SUMIF(E:E,P62,H:H)+SUMIF(I:I,P62,F:F)</f>
        <v>0</v>
      </c>
      <c r="X62" s="38">
        <f>V62-W62</f>
        <v>0</v>
      </c>
      <c r="Y62" s="38">
        <f>SUMPRODUCT(($Q$60:$Q$63=Q62)*($X$60:$X$63&gt;X62))</f>
        <v>0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2</v>
      </c>
      <c r="AC62" s="39">
        <v>3</v>
      </c>
      <c r="AD62" s="45"/>
      <c r="AE62" s="21">
        <v>3</v>
      </c>
      <c r="AF62" s="83" t="str">
        <f>VLOOKUP($AE62,$O$60:$X$63,2,FALSE)</f>
        <v>Áustria</v>
      </c>
      <c r="AG62" s="84">
        <f>VLOOKUP($AE62,$O$60:$X$63,3,FALSE)</f>
        <v>0</v>
      </c>
      <c r="AH62" s="84">
        <f>VLOOKUP($AE62,$O$60:$X$63,4,FALSE)</f>
        <v>0</v>
      </c>
      <c r="AI62" s="84">
        <f>VLOOKUP($AE62,$O$60:$X$63,5,FALSE)</f>
        <v>0</v>
      </c>
      <c r="AJ62" s="84">
        <f>VLOOKUP($AE62,$O$60:$X$63,6,FALSE)</f>
        <v>0</v>
      </c>
      <c r="AK62" s="84">
        <f>VLOOKUP($AE62,$O$60:$X$63,7,FALSE)</f>
        <v>0</v>
      </c>
      <c r="AL62" s="84">
        <f>VLOOKUP($AE62,$O$60:$X$63,8,FALSE)</f>
        <v>0</v>
      </c>
      <c r="AM62" s="84">
        <f>VLOOKUP($AE62,$O$60:$X$63,9,FALSE)</f>
        <v>0</v>
      </c>
      <c r="AN62" s="85">
        <f>VLOOKUP($AE62,$O$60:$X$63,10,FALSE)</f>
        <v>0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/>
      <c r="G63" s="118" t="s">
        <v>22</v>
      </c>
      <c r="H63" s="126"/>
      <c r="I63" s="119" t="str">
        <f>P62</f>
        <v>Áustria</v>
      </c>
      <c r="J63" s="66" t="str">
        <f t="shared" si="46"/>
        <v>empate</v>
      </c>
      <c r="K63" s="66" t="str">
        <f t="shared" si="47"/>
        <v/>
      </c>
      <c r="L63" s="66" t="str">
        <f t="shared" si="48"/>
        <v/>
      </c>
      <c r="M63" s="67" t="str">
        <f t="shared" si="49"/>
        <v>empate</v>
      </c>
      <c r="N63" s="45"/>
      <c r="O63" s="68">
        <f>RANK(Q63,$Q$60:$Q$63)+SUM(Y63:AB63)</f>
        <v>4</v>
      </c>
      <c r="P63" s="49" t="str">
        <f>Sorteios!C33</f>
        <v>Jordânia</v>
      </c>
      <c r="Q63" s="53">
        <f t="shared" si="62"/>
        <v>0</v>
      </c>
      <c r="R63" s="53">
        <f t="shared" si="63"/>
        <v>0</v>
      </c>
      <c r="S63" s="38">
        <f>COUNTIF(J:J,P63)</f>
        <v>0</v>
      </c>
      <c r="T63" s="38">
        <f>COUNTIF(K:K,P63)+COUNTIF(L:L,P63)</f>
        <v>0</v>
      </c>
      <c r="U63" s="38">
        <f>COUNTIF(M:M,P63)</f>
        <v>0</v>
      </c>
      <c r="V63" s="53">
        <f>SUMIF(E:E,P63,F:F)+SUMIF(I:I,P63,H:H)</f>
        <v>0</v>
      </c>
      <c r="W63" s="53">
        <f>SUMIF(E:E,P63,H:H)+SUMIF(I:I,P63,F:F)</f>
        <v>0</v>
      </c>
      <c r="X63" s="53">
        <f t="shared" si="64"/>
        <v>0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3</v>
      </c>
      <c r="AC63" s="54">
        <v>4</v>
      </c>
      <c r="AD63" s="57"/>
      <c r="AE63" s="22">
        <v>4</v>
      </c>
      <c r="AF63" s="86" t="str">
        <f>VLOOKUP($AE63,$O$60:$X$63,2,FALSE)</f>
        <v>Jordânia</v>
      </c>
      <c r="AG63" s="87">
        <f>VLOOKUP($AE63,$O$60:$X$63,3,FALSE)</f>
        <v>0</v>
      </c>
      <c r="AH63" s="87">
        <f>VLOOKUP($AE63,$O$60:$X$63,4,FALSE)</f>
        <v>0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0</v>
      </c>
      <c r="AL63" s="87">
        <f>VLOOKUP($AE63,$O$60:$X$63,8,FALSE)</f>
        <v>0</v>
      </c>
      <c r="AM63" s="87">
        <f>VLOOKUP($AE63,$O$60:$X$63,9,FALSE)</f>
        <v>0</v>
      </c>
      <c r="AN63" s="88">
        <f>VLOOKUP($AE63,$O$60:$X$63,10,FALSE)</f>
        <v>0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/>
      <c r="G64" s="111" t="s">
        <v>22</v>
      </c>
      <c r="H64" s="125"/>
      <c r="I64" s="116" t="str">
        <f>P67</f>
        <v>RD Congo</v>
      </c>
      <c r="J64" s="59" t="str">
        <f t="shared" si="46"/>
        <v>empate</v>
      </c>
      <c r="K64" s="59" t="str">
        <f t="shared" si="47"/>
        <v/>
      </c>
      <c r="L64" s="59" t="str">
        <f t="shared" si="48"/>
        <v/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/>
      <c r="G65" s="84" t="s">
        <v>22</v>
      </c>
      <c r="H65" s="123"/>
      <c r="I65" s="107" t="str">
        <f>P69</f>
        <v>Colômbia</v>
      </c>
      <c r="J65" s="38" t="str">
        <f t="shared" si="46"/>
        <v>empate</v>
      </c>
      <c r="K65" s="38" t="str">
        <f t="shared" si="47"/>
        <v/>
      </c>
      <c r="L65" s="38" t="str">
        <f t="shared" si="48"/>
        <v/>
      </c>
      <c r="M65" s="39" t="str">
        <f t="shared" si="49"/>
        <v>empate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/>
      <c r="G66" s="84" t="s">
        <v>22</v>
      </c>
      <c r="H66" s="123"/>
      <c r="I66" s="107" t="str">
        <f>P68</f>
        <v>Uzbequistão</v>
      </c>
      <c r="J66" s="38" t="str">
        <f t="shared" si="46"/>
        <v>empate</v>
      </c>
      <c r="K66" s="38" t="str">
        <f t="shared" si="47"/>
        <v/>
      </c>
      <c r="L66" s="38" t="str">
        <f t="shared" si="48"/>
        <v/>
      </c>
      <c r="M66" s="39" t="str">
        <f t="shared" si="49"/>
        <v>empate</v>
      </c>
      <c r="N66" s="46"/>
      <c r="O66" s="47">
        <f>RANK(Q66,$Q$66:$Q$69)+SUM(Y66:AB66)</f>
        <v>1</v>
      </c>
      <c r="P66" s="49" t="str">
        <f>Sorteios!F30</f>
        <v>Portugal</v>
      </c>
      <c r="Q66" s="38">
        <f>(S66*3)+(T66*1)</f>
        <v>0</v>
      </c>
      <c r="R66" s="38">
        <f>SUM(S66:U66)</f>
        <v>0</v>
      </c>
      <c r="S66" s="38">
        <f>COUNTIF(J:J,P66)</f>
        <v>0</v>
      </c>
      <c r="T66" s="38">
        <f>COUNTIF(K:K,P66)+COUNTIF(L:L,P66)</f>
        <v>0</v>
      </c>
      <c r="U66" s="38">
        <f>COUNTIF(M:M,P66)</f>
        <v>0</v>
      </c>
      <c r="V66" s="38">
        <f>SUMIF(E:E,P66,F:F)+SUMIF(I:I,P66,H:H)</f>
        <v>0</v>
      </c>
      <c r="W66" s="38">
        <f>SUMIF(E:E,P66,H:H)+SUMIF(I:I,P66,F:F)</f>
        <v>0</v>
      </c>
      <c r="X66" s="38">
        <f>V66-W66</f>
        <v>0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Portugal</v>
      </c>
      <c r="AG66" s="84">
        <f>VLOOKUP($AE66,$O$66:$X$69,3,FALSE)</f>
        <v>0</v>
      </c>
      <c r="AH66" s="84">
        <f>VLOOKUP($AE66,$O$66:$X$69,4,FALSE)</f>
        <v>0</v>
      </c>
      <c r="AI66" s="84">
        <f>VLOOKUP($AE66,$O$66:$X$69,5,FALSE)</f>
        <v>0</v>
      </c>
      <c r="AJ66" s="84">
        <f>VLOOKUP($AE66,$O$66:$X$69,6,FALSE)</f>
        <v>0</v>
      </c>
      <c r="AK66" s="84">
        <f>VLOOKUP($AE66,$O$66:$X$69,7,FALSE)</f>
        <v>0</v>
      </c>
      <c r="AL66" s="84">
        <f>VLOOKUP($AE66,$O$66:$X$69,8,FALSE)</f>
        <v>0</v>
      </c>
      <c r="AM66" s="84">
        <f>VLOOKUP($AE66,$O$66:$X$69,9,FALSE)</f>
        <v>0</v>
      </c>
      <c r="AN66" s="85">
        <f>VLOOKUP($AE66,$O$66:$X$69,10,FALSE)</f>
        <v>0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/>
      <c r="G67" s="84" t="s">
        <v>22</v>
      </c>
      <c r="H67" s="123"/>
      <c r="I67" s="107" t="str">
        <f>P67</f>
        <v>RD Congo</v>
      </c>
      <c r="J67" s="38" t="str">
        <f t="shared" si="46"/>
        <v>empate</v>
      </c>
      <c r="K67" s="38" t="str">
        <f t="shared" si="47"/>
        <v/>
      </c>
      <c r="L67" s="38" t="str">
        <f t="shared" si="48"/>
        <v/>
      </c>
      <c r="M67" s="39" t="str">
        <f t="shared" si="49"/>
        <v>empate</v>
      </c>
      <c r="N67" s="46"/>
      <c r="O67" s="47">
        <f>RANK(Q67,$Q$66:$Q$69)+SUM(Y67:AB67)</f>
        <v>2</v>
      </c>
      <c r="P67" s="49" t="str">
        <f>Sorteios!F31</f>
        <v>RD Congo</v>
      </c>
      <c r="Q67" s="38">
        <f t="shared" ref="Q67:Q69" si="65">(S67*3)+(T67*1)</f>
        <v>0</v>
      </c>
      <c r="R67" s="38">
        <f t="shared" ref="R67:R69" si="66">SUM(S67:U67)</f>
        <v>0</v>
      </c>
      <c r="S67" s="38">
        <f>COUNTIF(J:J,P67)</f>
        <v>0</v>
      </c>
      <c r="T67" s="38">
        <f>COUNTIF(K:K,P67)+COUNTIF(L:L,P67)</f>
        <v>0</v>
      </c>
      <c r="U67" s="38">
        <f>COUNTIF(M:M,P67)</f>
        <v>0</v>
      </c>
      <c r="V67" s="38">
        <f>SUMIF(E:E,P67,F:F)+SUMIF(I:I,P67,H:H)</f>
        <v>0</v>
      </c>
      <c r="W67" s="38">
        <f>SUMIF(E:E,P67,H:H)+SUMIF(I:I,P67,F:F)</f>
        <v>0</v>
      </c>
      <c r="X67" s="38">
        <f t="shared" ref="X67:X69" si="67">V67-W67</f>
        <v>0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1</v>
      </c>
      <c r="AC67" s="39">
        <v>2</v>
      </c>
      <c r="AD67" s="45"/>
      <c r="AE67" s="21">
        <v>2</v>
      </c>
      <c r="AF67" s="83" t="str">
        <f>VLOOKUP($AE67,$O$66:$X$69,2,FALSE)</f>
        <v>RD Congo</v>
      </c>
      <c r="AG67" s="84">
        <f>VLOOKUP($AE67,$O$66:$X$69,3,FALSE)</f>
        <v>0</v>
      </c>
      <c r="AH67" s="84">
        <f>VLOOKUP($AE67,$O$66:$X$69,4,FALSE)</f>
        <v>0</v>
      </c>
      <c r="AI67" s="84">
        <f>VLOOKUP($AE67,$O$66:$X$69,5,FALSE)</f>
        <v>0</v>
      </c>
      <c r="AJ67" s="84">
        <f>VLOOKUP($AE67,$O$66:$X$69,6,FALSE)</f>
        <v>0</v>
      </c>
      <c r="AK67" s="84">
        <f>VLOOKUP($AE67,$O$66:$X$69,7,FALSE)</f>
        <v>0</v>
      </c>
      <c r="AL67" s="84">
        <f>VLOOKUP($AE67,$O$66:$X$69,8,FALSE)</f>
        <v>0</v>
      </c>
      <c r="AM67" s="84">
        <f>VLOOKUP($AE67,$O$66:$X$69,9,FALSE)</f>
        <v>0</v>
      </c>
      <c r="AN67" s="85">
        <f>VLOOKUP($AE67,$O$66:$X$69,10,FALSE)</f>
        <v>0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/>
      <c r="G68" s="84" t="s">
        <v>22</v>
      </c>
      <c r="H68" s="123"/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/>
      </c>
      <c r="L68" s="38" t="str">
        <f t="shared" ref="L68:L75" si="70">IF(E68="","",IF(F68="","",IF(M68="empate",I68,"")))</f>
        <v/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3</v>
      </c>
      <c r="P68" s="49" t="str">
        <f>Sorteios!F32</f>
        <v>Uzbequistão</v>
      </c>
      <c r="Q68" s="38">
        <f t="shared" si="65"/>
        <v>0</v>
      </c>
      <c r="R68" s="38">
        <f t="shared" si="66"/>
        <v>0</v>
      </c>
      <c r="S68" s="38">
        <f>COUNTIF(J:J,P68)</f>
        <v>0</v>
      </c>
      <c r="T68" s="38">
        <f>COUNTIF(K:K,P68)+COUNTIF(L:L,P68)</f>
        <v>0</v>
      </c>
      <c r="U68" s="38">
        <f>COUNTIF(M:M,P68)</f>
        <v>0</v>
      </c>
      <c r="V68" s="38">
        <f>SUMIF(E:E,P68,F:F)+SUMIF(I:I,P68,H:H)</f>
        <v>0</v>
      </c>
      <c r="W68" s="38">
        <f>SUMIF(E:E,P68,H:H)+SUMIF(I:I,P68,F:F)</f>
        <v>0</v>
      </c>
      <c r="X68" s="38">
        <f t="shared" si="67"/>
        <v>0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2</v>
      </c>
      <c r="AC68" s="39">
        <v>3</v>
      </c>
      <c r="AD68" s="45"/>
      <c r="AE68" s="21">
        <v>3</v>
      </c>
      <c r="AF68" s="83" t="str">
        <f>VLOOKUP($AE68,$O$66:$X$69,2,FALSE)</f>
        <v>Uzbequistão</v>
      </c>
      <c r="AG68" s="84">
        <f>VLOOKUP($AE68,$O$66:$X$69,3,FALSE)</f>
        <v>0</v>
      </c>
      <c r="AH68" s="84">
        <f>VLOOKUP($AE68,$O$66:$X$69,4,FALSE)</f>
        <v>0</v>
      </c>
      <c r="AI68" s="84">
        <f>VLOOKUP($AE68,$O$66:$X$69,5,FALSE)</f>
        <v>0</v>
      </c>
      <c r="AJ68" s="84">
        <f>VLOOKUP($AE68,$O$66:$X$69,6,FALSE)</f>
        <v>0</v>
      </c>
      <c r="AK68" s="84">
        <f>VLOOKUP($AE68,$O$66:$X$69,7,FALSE)</f>
        <v>0</v>
      </c>
      <c r="AL68" s="84">
        <f>VLOOKUP($AE68,$O$66:$X$69,8,FALSE)</f>
        <v>0</v>
      </c>
      <c r="AM68" s="84">
        <f>VLOOKUP($AE68,$O$66:$X$69,9,FALSE)</f>
        <v>0</v>
      </c>
      <c r="AN68" s="85">
        <f>VLOOKUP($AE68,$O$66:$X$69,10,FALSE)</f>
        <v>0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/>
      <c r="G69" s="87" t="s">
        <v>22</v>
      </c>
      <c r="H69" s="124"/>
      <c r="I69" s="109" t="str">
        <f>P68</f>
        <v>Uzbequistão</v>
      </c>
      <c r="J69" s="53" t="str">
        <f t="shared" si="68"/>
        <v>empate</v>
      </c>
      <c r="K69" s="53" t="str">
        <f t="shared" si="69"/>
        <v/>
      </c>
      <c r="L69" s="53" t="str">
        <f t="shared" si="70"/>
        <v/>
      </c>
      <c r="M69" s="54" t="str">
        <f t="shared" si="71"/>
        <v>empate</v>
      </c>
      <c r="N69" s="55"/>
      <c r="O69" s="56">
        <f>RANK(Q69,$Q$66:$Q$69)+SUM(Y69:AB69)</f>
        <v>4</v>
      </c>
      <c r="P69" s="74" t="str">
        <f>Sorteios!F33</f>
        <v>Colômbia</v>
      </c>
      <c r="Q69" s="53">
        <f t="shared" si="65"/>
        <v>0</v>
      </c>
      <c r="R69" s="53">
        <f t="shared" si="66"/>
        <v>0</v>
      </c>
      <c r="S69" s="53">
        <f>COUNTIF(J:J,P69)</f>
        <v>0</v>
      </c>
      <c r="T69" s="53">
        <f>COUNTIF(K:K,P69)+COUNTIF(L:L,P69)</f>
        <v>0</v>
      </c>
      <c r="U69" s="53">
        <f>COUNTIF(M:M,P69)</f>
        <v>0</v>
      </c>
      <c r="V69" s="53">
        <f>SUMIF(E:E,P69,F:F)+SUMIF(I:I,P69,H:H)</f>
        <v>0</v>
      </c>
      <c r="W69" s="53">
        <f>SUMIF(E:E,P69,H:H)+SUMIF(I:I,P69,F:F)</f>
        <v>0</v>
      </c>
      <c r="X69" s="53">
        <f t="shared" si="67"/>
        <v>0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3</v>
      </c>
      <c r="AC69" s="54">
        <v>4</v>
      </c>
      <c r="AD69" s="57"/>
      <c r="AE69" s="22">
        <v>4</v>
      </c>
      <c r="AF69" s="86" t="str">
        <f>VLOOKUP($AE69,$O$66:$X$69,2,FALSE)</f>
        <v>Colômbia</v>
      </c>
      <c r="AG69" s="87">
        <f>VLOOKUP($AE69,$O$66:$X$69,3,FALSE)</f>
        <v>0</v>
      </c>
      <c r="AH69" s="87">
        <f>VLOOKUP($AE69,$O$66:$X$69,4,FALSE)</f>
        <v>0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0</v>
      </c>
      <c r="AL69" s="87">
        <f>VLOOKUP($AE69,$O$66:$X$69,8,FALSE)</f>
        <v>0</v>
      </c>
      <c r="AM69" s="87">
        <f>VLOOKUP($AE69,$O$66:$X$69,9,FALSE)</f>
        <v>0</v>
      </c>
      <c r="AN69" s="88">
        <f>VLOOKUP($AE69,$O$66:$X$69,10,FALSE)</f>
        <v>0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/>
      <c r="G70" s="111" t="s">
        <v>22</v>
      </c>
      <c r="H70" s="125"/>
      <c r="I70" s="112" t="str">
        <f>P73</f>
        <v>Croácia</v>
      </c>
      <c r="J70" s="59" t="str">
        <f t="shared" si="68"/>
        <v>empate</v>
      </c>
      <c r="K70" s="59" t="str">
        <f t="shared" si="69"/>
        <v/>
      </c>
      <c r="L70" s="59" t="str">
        <f t="shared" si="70"/>
        <v/>
      </c>
      <c r="M70" s="60" t="str">
        <f t="shared" si="71"/>
        <v>empate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/>
      <c r="G71" s="84" t="s">
        <v>22</v>
      </c>
      <c r="H71" s="123"/>
      <c r="I71" s="113" t="str">
        <f>P75</f>
        <v>Panamá</v>
      </c>
      <c r="J71" s="38" t="str">
        <f t="shared" si="68"/>
        <v>empate</v>
      </c>
      <c r="K71" s="38" t="str">
        <f t="shared" si="69"/>
        <v/>
      </c>
      <c r="L71" s="38" t="str">
        <f t="shared" si="70"/>
        <v/>
      </c>
      <c r="M71" s="39" t="str">
        <f t="shared" si="71"/>
        <v>empate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/>
      <c r="G72" s="84" t="s">
        <v>22</v>
      </c>
      <c r="H72" s="123"/>
      <c r="I72" s="113" t="str">
        <f>P74</f>
        <v>Gana</v>
      </c>
      <c r="J72" s="38" t="str">
        <f t="shared" si="68"/>
        <v>empate</v>
      </c>
      <c r="K72" s="38" t="str">
        <f t="shared" si="69"/>
        <v/>
      </c>
      <c r="L72" s="38" t="str">
        <f t="shared" si="70"/>
        <v/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0</v>
      </c>
      <c r="R72" s="38">
        <f>SUM(S72:U72)</f>
        <v>0</v>
      </c>
      <c r="S72" s="38">
        <f>COUNTIF(J:J,P72)</f>
        <v>0</v>
      </c>
      <c r="T72" s="38">
        <f>COUNTIF(K:K,P72)+COUNTIF(L:L,P72)</f>
        <v>0</v>
      </c>
      <c r="U72" s="38">
        <f>COUNTIF(M:M,P72)</f>
        <v>0</v>
      </c>
      <c r="V72" s="38">
        <f>SUMIF(E:E,P72,F:F)+SUMIF(I:I,P72,H:H)</f>
        <v>0</v>
      </c>
      <c r="W72" s="38">
        <f>SUMIF(E:E,P72,H:H)+SUMIF(I:I,P72,F:F)</f>
        <v>0</v>
      </c>
      <c r="X72" s="38">
        <f>V72-W72</f>
        <v>0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0</v>
      </c>
      <c r="AH72" s="84">
        <f>VLOOKUP($AE72,$O$72:$X$75,4,FALSE)</f>
        <v>0</v>
      </c>
      <c r="AI72" s="84">
        <f>VLOOKUP($AE72,$O$72:$X$75,5,FALSE)</f>
        <v>0</v>
      </c>
      <c r="AJ72" s="84">
        <f>VLOOKUP($AE72,$O$72:$X$75,6,FALSE)</f>
        <v>0</v>
      </c>
      <c r="AK72" s="84">
        <f>VLOOKUP($AE72,$O$72:$X$75,7,FALSE)</f>
        <v>0</v>
      </c>
      <c r="AL72" s="84">
        <f>VLOOKUP($AE72,$O$72:$X$75,8,FALSE)</f>
        <v>0</v>
      </c>
      <c r="AM72" s="84">
        <f>VLOOKUP($AE72,$O$72:$X$75,9,FALSE)</f>
        <v>0</v>
      </c>
      <c r="AN72" s="85">
        <f>VLOOKUP($AE72,$O$72:$X$75,10,FALSE)</f>
        <v>0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/>
      <c r="G73" s="84" t="s">
        <v>22</v>
      </c>
      <c r="H73" s="123"/>
      <c r="I73" s="113" t="str">
        <f>P73</f>
        <v>Croácia</v>
      </c>
      <c r="J73" s="38" t="str">
        <f t="shared" si="68"/>
        <v>empate</v>
      </c>
      <c r="K73" s="38" t="str">
        <f t="shared" si="69"/>
        <v/>
      </c>
      <c r="L73" s="38" t="str">
        <f t="shared" si="70"/>
        <v/>
      </c>
      <c r="M73" s="39" t="str">
        <f t="shared" si="71"/>
        <v>empate</v>
      </c>
      <c r="N73" s="45"/>
      <c r="O73" s="47">
        <f>RANK(Q73,$Q$72:$Q$75)+SUM(Y73:AB73)</f>
        <v>2</v>
      </c>
      <c r="P73" s="49" t="str">
        <f>Sorteios!I31</f>
        <v>Croácia</v>
      </c>
      <c r="Q73" s="38">
        <f t="shared" ref="Q73:Q75" si="72">(S73*3)+(T73*1)</f>
        <v>0</v>
      </c>
      <c r="R73" s="38">
        <f t="shared" ref="R73:R75" si="73">SUM(S73:U73)</f>
        <v>0</v>
      </c>
      <c r="S73" s="38">
        <f>COUNTIF(J:J,P73)</f>
        <v>0</v>
      </c>
      <c r="T73" s="38">
        <f>COUNTIF(K:K,P73)+COUNTIF(L:L,P73)</f>
        <v>0</v>
      </c>
      <c r="U73" s="38">
        <f>COUNTIF(M:M,P73)</f>
        <v>0</v>
      </c>
      <c r="V73" s="38">
        <f>SUMIF(E:E,P73,F:F)+SUMIF(I:I,P73,H:H)</f>
        <v>0</v>
      </c>
      <c r="W73" s="38">
        <f>SUMIF(E:E,P73,H:H)+SUMIF(I:I,P73,F:F)</f>
        <v>0</v>
      </c>
      <c r="X73" s="38">
        <f t="shared" ref="X73:X75" si="74">V73-W73</f>
        <v>0</v>
      </c>
      <c r="Y73" s="38">
        <f t="shared" ref="Y73:Y75" si="75">SUMPRODUCT(($Q$72:$Q$75=Q73)*($X$72:$X$75&gt;X73))</f>
        <v>0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1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Croácia</v>
      </c>
      <c r="AG73" s="84">
        <f t="shared" ref="AG73:AG75" si="80">VLOOKUP($AE73,$O$72:$X$75,3,FALSE)</f>
        <v>0</v>
      </c>
      <c r="AH73" s="84">
        <f t="shared" ref="AH73:AH75" si="81">VLOOKUP($AE73,$O$72:$X$75,4,FALSE)</f>
        <v>0</v>
      </c>
      <c r="AI73" s="84">
        <f t="shared" ref="AI73:AI75" si="82">VLOOKUP($AE73,$O$72:$X$75,5,FALSE)</f>
        <v>0</v>
      </c>
      <c r="AJ73" s="84">
        <f t="shared" ref="AJ73:AJ75" si="83">VLOOKUP($AE73,$O$72:$X$75,6,FALSE)</f>
        <v>0</v>
      </c>
      <c r="AK73" s="84">
        <f t="shared" ref="AK73:AK75" si="84">VLOOKUP($AE73,$O$72:$X$75,7,FALSE)</f>
        <v>0</v>
      </c>
      <c r="AL73" s="84">
        <f t="shared" ref="AL73:AL75" si="85">VLOOKUP($AE73,$O$72:$X$75,8,FALSE)</f>
        <v>0</v>
      </c>
      <c r="AM73" s="84">
        <f t="shared" ref="AM73:AM75" si="86">VLOOKUP($AE73,$O$72:$X$75,9,FALSE)</f>
        <v>0</v>
      </c>
      <c r="AN73" s="85">
        <f t="shared" ref="AN73:AN75" si="87">VLOOKUP($AE73,$O$72:$X$75,10,FALSE)</f>
        <v>0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/>
      <c r="G74" s="84" t="s">
        <v>22</v>
      </c>
      <c r="H74" s="123"/>
      <c r="I74" s="113" t="str">
        <f>P72</f>
        <v>Inglaterra</v>
      </c>
      <c r="J74" s="38" t="str">
        <f t="shared" si="68"/>
        <v>empate</v>
      </c>
      <c r="K74" s="38" t="str">
        <f t="shared" si="69"/>
        <v/>
      </c>
      <c r="L74" s="38" t="str">
        <f t="shared" si="70"/>
        <v/>
      </c>
      <c r="M74" s="39" t="str">
        <f t="shared" si="71"/>
        <v>empate</v>
      </c>
      <c r="N74" s="45"/>
      <c r="O74" s="47">
        <f>RANK(Q74,$Q$72:$Q$75)+SUM(Y74:AB74)</f>
        <v>3</v>
      </c>
      <c r="P74" s="49" t="str">
        <f>Sorteios!I32</f>
        <v>Gana</v>
      </c>
      <c r="Q74" s="38">
        <f t="shared" si="72"/>
        <v>0</v>
      </c>
      <c r="R74" s="38">
        <f t="shared" si="73"/>
        <v>0</v>
      </c>
      <c r="S74" s="38">
        <f>COUNTIF(J:J,P74)</f>
        <v>0</v>
      </c>
      <c r="T74" s="38">
        <f>COUNTIF(K:K,P74)+COUNTIF(L:L,P74)</f>
        <v>0</v>
      </c>
      <c r="U74" s="38">
        <f>COUNTIF(M:M,P74)</f>
        <v>0</v>
      </c>
      <c r="V74" s="38">
        <f>SUMIF(E:E,P74,F:F)+SUMIF(I:I,P74,H:H)</f>
        <v>0</v>
      </c>
      <c r="W74" s="38">
        <f>SUMIF(E:E,P74,H:H)+SUMIF(I:I,P74,F:F)</f>
        <v>0</v>
      </c>
      <c r="X74" s="38">
        <f t="shared" si="74"/>
        <v>0</v>
      </c>
      <c r="Y74" s="38">
        <f t="shared" si="75"/>
        <v>0</v>
      </c>
      <c r="Z74" s="38">
        <f t="shared" si="76"/>
        <v>0</v>
      </c>
      <c r="AA74" s="38">
        <f t="shared" si="77"/>
        <v>0</v>
      </c>
      <c r="AB74" s="38">
        <f t="shared" si="78"/>
        <v>2</v>
      </c>
      <c r="AC74" s="39">
        <v>3</v>
      </c>
      <c r="AD74" s="45"/>
      <c r="AE74" s="21">
        <v>3</v>
      </c>
      <c r="AF74" s="83" t="str">
        <f t="shared" si="79"/>
        <v>Gana</v>
      </c>
      <c r="AG74" s="84">
        <f t="shared" si="80"/>
        <v>0</v>
      </c>
      <c r="AH74" s="84">
        <f t="shared" si="81"/>
        <v>0</v>
      </c>
      <c r="AI74" s="84">
        <f t="shared" si="82"/>
        <v>0</v>
      </c>
      <c r="AJ74" s="84">
        <f t="shared" si="83"/>
        <v>0</v>
      </c>
      <c r="AK74" s="84">
        <f t="shared" si="84"/>
        <v>0</v>
      </c>
      <c r="AL74" s="84">
        <f t="shared" si="85"/>
        <v>0</v>
      </c>
      <c r="AM74" s="84">
        <f t="shared" si="86"/>
        <v>0</v>
      </c>
      <c r="AN74" s="85">
        <f t="shared" si="87"/>
        <v>0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/>
      <c r="G75" s="87" t="s">
        <v>22</v>
      </c>
      <c r="H75" s="124"/>
      <c r="I75" s="114" t="str">
        <f>P74</f>
        <v>Gana</v>
      </c>
      <c r="J75" s="53" t="str">
        <f t="shared" si="68"/>
        <v>empate</v>
      </c>
      <c r="K75" s="53" t="str">
        <f t="shared" si="69"/>
        <v/>
      </c>
      <c r="L75" s="53" t="str">
        <f t="shared" si="70"/>
        <v/>
      </c>
      <c r="M75" s="54" t="str">
        <f t="shared" si="71"/>
        <v>empate</v>
      </c>
      <c r="N75" s="57"/>
      <c r="O75" s="56">
        <f>RANK(Q75,$Q$72:$Q$75)+SUM(Y75:AB75)</f>
        <v>4</v>
      </c>
      <c r="P75" s="49" t="str">
        <f>Sorteios!I33</f>
        <v>Panamá</v>
      </c>
      <c r="Q75" s="53">
        <f t="shared" si="72"/>
        <v>0</v>
      </c>
      <c r="R75" s="53">
        <f t="shared" si="73"/>
        <v>0</v>
      </c>
      <c r="S75" s="38">
        <f>COUNTIF(J:J,P75)</f>
        <v>0</v>
      </c>
      <c r="T75" s="38">
        <f>COUNTIF(K:K,P75)+COUNTIF(L:L,P75)</f>
        <v>0</v>
      </c>
      <c r="U75" s="38">
        <f>COUNTIF(M:M,P75)</f>
        <v>0</v>
      </c>
      <c r="V75" s="53">
        <f>SUMIF(E:E,P75,F:F)+SUMIF(I:I,P75,H:H)</f>
        <v>0</v>
      </c>
      <c r="W75" s="53">
        <f>SUMIF(E:E,P75,H:H)+SUMIF(I:I,P75,F:F)</f>
        <v>0</v>
      </c>
      <c r="X75" s="53">
        <f t="shared" si="74"/>
        <v>0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3</v>
      </c>
      <c r="AC75" s="54">
        <v>4</v>
      </c>
      <c r="AD75" s="57"/>
      <c r="AE75" s="22">
        <v>4</v>
      </c>
      <c r="AF75" s="86" t="str">
        <f t="shared" si="79"/>
        <v>Panamá</v>
      </c>
      <c r="AG75" s="87">
        <f t="shared" si="80"/>
        <v>0</v>
      </c>
      <c r="AH75" s="87">
        <f t="shared" si="81"/>
        <v>0</v>
      </c>
      <c r="AI75" s="87">
        <f t="shared" si="82"/>
        <v>0</v>
      </c>
      <c r="AJ75" s="87">
        <f t="shared" si="83"/>
        <v>0</v>
      </c>
      <c r="AK75" s="87">
        <f t="shared" si="84"/>
        <v>0</v>
      </c>
      <c r="AL75" s="87">
        <f t="shared" si="85"/>
        <v>0</v>
      </c>
      <c r="AM75" s="87">
        <f t="shared" si="86"/>
        <v>0</v>
      </c>
      <c r="AN75" s="88">
        <f t="shared" si="87"/>
        <v>0</v>
      </c>
    </row>
  </sheetData>
  <sheetProtection algorithmName="SHA-512" hashValue="SQxt3xnjLosvPdR5VuDI39jJ8Exg7pNo5QfpFGGeUhP9bCwEfdBtH+uOucbe3pVgIFZMZM1W7ecUs97g1mIdPQ==" saltValue="5T5G2RQHRg8kXfIrbR4BJA==" spinCount="100000" sheet="1" objects="1" scenarios="1" selectLockedCells="1"/>
  <mergeCells count="1">
    <mergeCell ref="F3:H3"/>
  </mergeCells>
  <conditionalFormatting sqref="A1:A51 P3 B3:O51">
    <cfRule type="cellIs" dxfId="47" priority="215" operator="equal">
      <formula>"Brasil"</formula>
    </cfRule>
  </conditionalFormatting>
  <conditionalFormatting sqref="A52:O75">
    <cfRule type="cellIs" dxfId="46" priority="136" operator="equal">
      <formula>"Brasil"</formula>
    </cfRule>
  </conditionalFormatting>
  <conditionalFormatting sqref="C4:E9">
    <cfRule type="cellIs" dxfId="45" priority="202" operator="equal">
      <formula>"Brasil"</formula>
    </cfRule>
  </conditionalFormatting>
  <conditionalFormatting sqref="C16:E21">
    <cfRule type="cellIs" dxfId="44" priority="193" operator="equal">
      <formula>"Brasil"</formula>
    </cfRule>
  </conditionalFormatting>
  <conditionalFormatting sqref="C28:E33">
    <cfRule type="cellIs" dxfId="43" priority="191" operator="equal">
      <formula>"Brasil"</formula>
    </cfRule>
  </conditionalFormatting>
  <conditionalFormatting sqref="C40:E45">
    <cfRule type="cellIs" dxfId="42" priority="189" operator="equal">
      <formula>"Brasil"</formula>
    </cfRule>
  </conditionalFormatting>
  <conditionalFormatting sqref="C52:E57">
    <cfRule type="cellIs" dxfId="41" priority="130" operator="equal">
      <formula>"Brasil"</formula>
    </cfRule>
  </conditionalFormatting>
  <conditionalFormatting sqref="C64:E69">
    <cfRule type="cellIs" dxfId="40" priority="128" operator="equal">
      <formula>"Brasil"</formula>
    </cfRule>
  </conditionalFormatting>
  <conditionalFormatting sqref="I4:I9">
    <cfRule type="cellIs" dxfId="39" priority="198" operator="equal">
      <formula>"Brasil"</formula>
    </cfRule>
  </conditionalFormatting>
  <conditionalFormatting sqref="I16:I21">
    <cfRule type="cellIs" dxfId="38" priority="188" operator="equal">
      <formula>"Brasil"</formula>
    </cfRule>
  </conditionalFormatting>
  <conditionalFormatting sqref="I28:I33">
    <cfRule type="cellIs" dxfId="37" priority="187" operator="equal">
      <formula>"Brasil"</formula>
    </cfRule>
  </conditionalFormatting>
  <conditionalFormatting sqref="I40:I45">
    <cfRule type="cellIs" dxfId="36" priority="186" operator="equal">
      <formula>"Brasil"</formula>
    </cfRule>
  </conditionalFormatting>
  <conditionalFormatting sqref="I52:I57">
    <cfRule type="cellIs" dxfId="35" priority="127" operator="equal">
      <formula>"Brasil"</formula>
    </cfRule>
  </conditionalFormatting>
  <conditionalFormatting sqref="I64:I69">
    <cfRule type="cellIs" dxfId="34" priority="126" operator="equal">
      <formula>"Brasil"</formula>
    </cfRule>
  </conditionalFormatting>
  <conditionalFormatting sqref="P4:AN75">
    <cfRule type="cellIs" dxfId="33" priority="3" operator="equal">
      <formula>"Brasil"</formula>
    </cfRule>
  </conditionalFormatting>
  <conditionalFormatting sqref="AF6:AF7">
    <cfRule type="expression" dxfId="32" priority="209">
      <formula>AH6=3</formula>
    </cfRule>
  </conditionalFormatting>
  <conditionalFormatting sqref="AF12:AF13 AF18:AF19 AF24:AF25 AF30:AF31 AF36:AF37 AF42:AF43 AF48:AF49 AF54:AF57 AF60:AF61 AF66:AF69 AF72:AF73">
    <cfRule type="expression" dxfId="31" priority="1">
      <formula>AH12=3</formula>
    </cfRule>
  </conditionalFormatting>
  <conditionalFormatting sqref="AP5:BG17">
    <cfRule type="cellIs" dxfId="30" priority="83" operator="equal">
      <formula>"Brasil"</formula>
    </cfRule>
  </conditionalFormatting>
  <conditionalFormatting sqref="BI4:BR17">
    <cfRule type="cellIs" dxfId="29" priority="2" operator="equal">
      <formula>"Brasil"</formula>
    </cfRule>
  </conditionalFormatting>
  <conditionalFormatting sqref="BJ6:BJ17">
    <cfRule type="expression" dxfId="28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85" t="s">
        <v>99</v>
      </c>
      <c r="C2" s="187" t="s">
        <v>100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9"/>
      <c r="O2" s="18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86"/>
      <c r="C3" s="190" t="s">
        <v>101</v>
      </c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2"/>
      <c r="O3" s="18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3" t="s">
        <v>85</v>
      </c>
      <c r="C3" s="194"/>
      <c r="D3" s="194"/>
      <c r="E3" s="194"/>
      <c r="F3" s="194"/>
      <c r="G3" s="194"/>
      <c r="H3" s="194"/>
      <c r="I3" s="194"/>
      <c r="J3" s="194"/>
      <c r="K3" s="195"/>
      <c r="L3" s="131"/>
      <c r="M3" s="132"/>
      <c r="N3" s="132"/>
      <c r="O3" s="132"/>
      <c r="P3" s="132"/>
      <c r="Q3" s="132"/>
      <c r="W3" s="130"/>
      <c r="X3" s="193" t="s">
        <v>73</v>
      </c>
      <c r="Y3" s="194"/>
      <c r="Z3" s="194"/>
      <c r="AA3" s="194"/>
      <c r="AB3" s="194"/>
      <c r="AC3" s="194"/>
      <c r="AD3" s="194"/>
      <c r="AE3" s="194"/>
      <c r="AF3" s="194"/>
      <c r="AG3" s="195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196" t="s">
        <v>17</v>
      </c>
      <c r="F4" s="196"/>
      <c r="G4" s="196" t="s">
        <v>18</v>
      </c>
      <c r="H4" s="196"/>
      <c r="I4" s="196"/>
      <c r="J4" s="196" t="s">
        <v>17</v>
      </c>
      <c r="K4" s="196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196" t="s">
        <v>17</v>
      </c>
      <c r="AB4" s="196"/>
      <c r="AC4" s="196" t="s">
        <v>18</v>
      </c>
      <c r="AD4" s="196"/>
      <c r="AE4" s="196"/>
      <c r="AF4" s="196" t="s">
        <v>17</v>
      </c>
      <c r="AG4" s="196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2º do Grupo A</v>
      </c>
      <c r="F5" s="149"/>
      <c r="G5" s="123"/>
      <c r="H5" s="84" t="s">
        <v>22</v>
      </c>
      <c r="I5" s="123"/>
      <c r="J5" s="150"/>
      <c r="K5" s="151" t="str">
        <f>IF('Fase de Grupos'!AH13=3,'Fase de Grupos'!AF13,"2º do Grupo B")</f>
        <v>2º do Grupo B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Vencedor 73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Vencedor 89</v>
      </c>
      <c r="AB5" s="149"/>
      <c r="AC5" s="123"/>
      <c r="AD5" s="84" t="s">
        <v>22</v>
      </c>
      <c r="AE5" s="123"/>
      <c r="AF5" s="150"/>
      <c r="AG5" s="151" t="str">
        <f>M26</f>
        <v>Vencedor 90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Vencedor Q1</v>
      </c>
      <c r="AJ5" s="133"/>
      <c r="AK5" s="133"/>
      <c r="AL5" s="133"/>
      <c r="AM5" s="133"/>
    </row>
    <row r="6" spans="1:39" x14ac:dyDescent="0.25">
      <c r="B6" s="152">
        <v>77</v>
      </c>
      <c r="C6" s="148">
        <v>46202</v>
      </c>
      <c r="D6" s="36" t="s">
        <v>47</v>
      </c>
      <c r="E6" s="106" t="str">
        <f>IF('Fase de Grupos'!AH30=3,'Fase de Grupos'!AF30,"1º do Grupo E")</f>
        <v>1º do Grupo E</v>
      </c>
      <c r="F6" s="149"/>
      <c r="G6" s="123"/>
      <c r="H6" s="84" t="s">
        <v>22</v>
      </c>
      <c r="I6" s="123"/>
      <c r="J6" s="150"/>
      <c r="K6" s="151" t="str">
        <f>IF('Fase de Grupos'!$BL$18=36,R11,"3º A, B, C, D ou F")</f>
        <v>3º A, B, C, D ou F</v>
      </c>
      <c r="L6" s="136" t="str">
        <f t="shared" ref="L6:L12" si="0">IF(OR(G6="",I6=""),"",IF(G6=I6,"emp",""))</f>
        <v/>
      </c>
      <c r="M6" s="133" t="str">
        <f>IF(OR(G6="",I6=""),"Vencedor 74",IF(G6&lt;&gt;I6,IF(G6&gt;I6,E6,K6),IF(SUM(F6:G6)=SUM(I6:J6),"Vencedor 74",IF(SUM(F6:G6)&gt;SUM(I6:J6),E6,K6))))</f>
        <v>Vencedor 74</v>
      </c>
      <c r="N6" s="133">
        <v>74</v>
      </c>
      <c r="P6" s="133" t="str">
        <f>'Fase de Grupos'!AR39</f>
        <v>3H3G3B3C3A3F3D3E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Vencedor 93</v>
      </c>
      <c r="AB6" s="149"/>
      <c r="AC6" s="123"/>
      <c r="AD6" s="84" t="s">
        <v>22</v>
      </c>
      <c r="AE6" s="123"/>
      <c r="AF6" s="150"/>
      <c r="AG6" s="151" t="str">
        <f>M30</f>
        <v>Vencedor 94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Vencedor Q2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1º do Grupo F</v>
      </c>
      <c r="F7" s="149"/>
      <c r="G7" s="123"/>
      <c r="H7" s="84" t="s">
        <v>22</v>
      </c>
      <c r="I7" s="123"/>
      <c r="J7" s="150"/>
      <c r="K7" s="151" t="str">
        <f>IF('Fase de Grupos'!AH19=3,'Fase de Grupos'!AF19,"2º do Grupo C")</f>
        <v>2º do Grupo C</v>
      </c>
      <c r="L7" s="136" t="str">
        <f t="shared" si="0"/>
        <v/>
      </c>
      <c r="M7" s="133" t="str">
        <f>IF(OR(G7="",I7=""),"Vencedor 75",IF(G7&lt;&gt;I7,IF(G7&gt;I7,E7,K7),IF(SUM(F7:G7)=SUM(I7:J7),"Vencedor 75",IF(SUM(F7:G7)&gt;SUM(I7:J7),E7,K7))))</f>
        <v>Vencedor 75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Vencedor 91</v>
      </c>
      <c r="AB7" s="149"/>
      <c r="AC7" s="123"/>
      <c r="AD7" s="84" t="s">
        <v>22</v>
      </c>
      <c r="AE7" s="123"/>
      <c r="AF7" s="150"/>
      <c r="AG7" s="151" t="str">
        <f>M28</f>
        <v>Vencedor 92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Vencedor Q3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1º do Grupo C</v>
      </c>
      <c r="F8" s="149"/>
      <c r="G8" s="123"/>
      <c r="H8" s="84" t="s">
        <v>22</v>
      </c>
      <c r="I8" s="123"/>
      <c r="J8" s="150"/>
      <c r="K8" s="151" t="str">
        <f>IF('Fase de Grupos'!AH37=3,'Fase de Grupos'!AF37,"2º do Grupo F")</f>
        <v>2º do Grupo F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Vencedor 76</v>
      </c>
      <c r="N8" s="133">
        <v>76</v>
      </c>
      <c r="P8" s="133" t="s">
        <v>102</v>
      </c>
      <c r="Q8" s="133" t="str">
        <f>MID($P$6,1,2)</f>
        <v>3H</v>
      </c>
      <c r="R8" s="15" t="str">
        <f>VLOOKUP(Q8,'Fase de Grupos'!$AR$30:$AS$37,2,FALSE)</f>
        <v>Arábia Saudita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Vencedor 95</v>
      </c>
      <c r="AB8" s="149"/>
      <c r="AC8" s="123"/>
      <c r="AD8" s="84" t="s">
        <v>22</v>
      </c>
      <c r="AE8" s="123"/>
      <c r="AF8" s="150"/>
      <c r="AG8" s="151" t="str">
        <f>M32</f>
        <v>Vencedor 96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Vencedor Q4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1º do Grupo I</v>
      </c>
      <c r="F9" s="149"/>
      <c r="G9" s="123"/>
      <c r="H9" s="84" t="s">
        <v>22</v>
      </c>
      <c r="I9" s="123"/>
      <c r="J9" s="150"/>
      <c r="K9" s="151" t="str">
        <f>IF('Fase de Grupos'!$BL$18=36,R13,"3º C, D, F, G ou H")</f>
        <v>3º C, D, F, G ou H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Vencedor 77</v>
      </c>
      <c r="N9" s="133">
        <v>77</v>
      </c>
      <c r="P9" s="133" t="s">
        <v>104</v>
      </c>
      <c r="Q9" s="133" t="str">
        <f>MID($P$6,3,2)</f>
        <v>3G</v>
      </c>
      <c r="R9" s="15" t="str">
        <f>VLOOKUP(Q9,'Fase de Grupos'!$AR$30:$AS$37,2,FALSE)</f>
        <v>Irã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2º do Grupo E</v>
      </c>
      <c r="F10" s="149"/>
      <c r="G10" s="123"/>
      <c r="H10" s="84" t="s">
        <v>22</v>
      </c>
      <c r="I10" s="123"/>
      <c r="J10" s="150"/>
      <c r="K10" s="151" t="str">
        <f>IF('Fase de Grupos'!AH55=3,'Fase de Grupos'!AF55,"2º do Grupo I")</f>
        <v>2º do Grupo I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Vencedor 78</v>
      </c>
      <c r="N10" s="133">
        <v>78</v>
      </c>
      <c r="P10" s="133" t="s">
        <v>105</v>
      </c>
      <c r="Q10" s="133" t="str">
        <f>MID($P$6,5,2)</f>
        <v>3B</v>
      </c>
      <c r="R10" s="15" t="str">
        <f>VLOOKUP(Q10,'Fase de Grupos'!$AR$30:$AS$37,2,FALSE)</f>
        <v>Qatar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1º do Grupo A</v>
      </c>
      <c r="F11" s="149"/>
      <c r="G11" s="123"/>
      <c r="H11" s="84" t="s">
        <v>22</v>
      </c>
      <c r="I11" s="123"/>
      <c r="J11" s="150"/>
      <c r="K11" s="151" t="str">
        <f>IF('Fase de Grupos'!$BL$18=36,R8,"3º C, E, F, H ou I")</f>
        <v>3º C, E, F, H ou I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Vencedor 79</v>
      </c>
      <c r="N11" s="133">
        <v>79</v>
      </c>
      <c r="P11" s="133" t="s">
        <v>106</v>
      </c>
      <c r="Q11" s="133" t="str">
        <f>MID($P$6,7,2)</f>
        <v>3C</v>
      </c>
      <c r="R11" s="15" t="str">
        <f>VLOOKUP(Q11,'Fase de Grupos'!$AR$30:$AS$37,2,FALSE)</f>
        <v>Haiti</v>
      </c>
      <c r="T11" s="15" t="s">
        <v>138</v>
      </c>
      <c r="U11" s="15">
        <f>U10+1</f>
        <v>12</v>
      </c>
      <c r="W11" s="130"/>
      <c r="X11" s="193" t="s">
        <v>74</v>
      </c>
      <c r="Y11" s="194"/>
      <c r="Z11" s="194"/>
      <c r="AA11" s="194"/>
      <c r="AB11" s="194"/>
      <c r="AC11" s="194"/>
      <c r="AD11" s="194"/>
      <c r="AE11" s="194"/>
      <c r="AF11" s="194"/>
      <c r="AG11" s="195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1º do Grupo L</v>
      </c>
      <c r="F12" s="149"/>
      <c r="G12" s="123"/>
      <c r="H12" s="84" t="s">
        <v>22</v>
      </c>
      <c r="I12" s="123"/>
      <c r="J12" s="150"/>
      <c r="K12" s="151" t="str">
        <f>IF('Fase de Grupos'!$BL$18=36,R15,"3º E, H, I, J ou K")</f>
        <v>3º E, H, I, J ou K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Vencedor 80</v>
      </c>
      <c r="N12" s="133">
        <v>80</v>
      </c>
      <c r="P12" s="133" t="s">
        <v>107</v>
      </c>
      <c r="Q12" s="133" t="str">
        <f>MID($P$6,9,2)</f>
        <v>3A</v>
      </c>
      <c r="R12" s="15" t="str">
        <f>VLOOKUP(Q12,'Fase de Grupos'!$AR$30:$AS$37,2,FALSE)</f>
        <v>Coreia do Sul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196" t="s">
        <v>17</v>
      </c>
      <c r="AB12" s="196"/>
      <c r="AC12" s="196" t="s">
        <v>18</v>
      </c>
      <c r="AD12" s="196"/>
      <c r="AE12" s="196"/>
      <c r="AF12" s="196" t="s">
        <v>17</v>
      </c>
      <c r="AG12" s="196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1º do Grupo D</v>
      </c>
      <c r="F13" s="149"/>
      <c r="G13" s="123"/>
      <c r="H13" s="84" t="s">
        <v>22</v>
      </c>
      <c r="I13" s="123"/>
      <c r="J13" s="150"/>
      <c r="K13" s="151" t="str">
        <f>IF('Fase de Grupos'!$BL$18=36,R10,"3º B, E, F, I ou J")</f>
        <v>3º B, E, F, I ou J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Vencedor 81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Suécia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Vencedor Q1</v>
      </c>
      <c r="AB13" s="149"/>
      <c r="AC13" s="123"/>
      <c r="AD13" s="84" t="s">
        <v>22</v>
      </c>
      <c r="AE13" s="123"/>
      <c r="AF13" s="150"/>
      <c r="AG13" s="151" t="str">
        <f>AI6</f>
        <v>Vencedor Q2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Vencedor S1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1º do Grupo G</v>
      </c>
      <c r="F14" s="149"/>
      <c r="G14" s="123"/>
      <c r="H14" s="84" t="s">
        <v>22</v>
      </c>
      <c r="I14" s="123"/>
      <c r="J14" s="150"/>
      <c r="K14" s="151" t="str">
        <f>IF('Fase de Grupos'!$BL$18=36,R12,"3º A, E, H, I ou J")</f>
        <v>3º A, E, H, I ou J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Vencedor 82</v>
      </c>
      <c r="N14" s="133">
        <v>82</v>
      </c>
      <c r="P14" s="133" t="s">
        <v>109</v>
      </c>
      <c r="Q14" s="133" t="str">
        <f>MID($P$6,13,2)</f>
        <v>3D</v>
      </c>
      <c r="R14" s="15" t="str">
        <f>VLOOKUP(Q14,'Fase de Grupos'!$AR$30:$AS$37,2,FALSE)</f>
        <v>Austrália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46217</v>
      </c>
      <c r="Z14" s="36" t="s">
        <v>46</v>
      </c>
      <c r="AA14" s="106" t="str">
        <f>AI7</f>
        <v>Vencedor Q3</v>
      </c>
      <c r="AB14" s="149"/>
      <c r="AC14" s="123"/>
      <c r="AD14" s="84" t="s">
        <v>22</v>
      </c>
      <c r="AE14" s="123"/>
      <c r="AF14" s="150"/>
      <c r="AG14" s="151" t="str">
        <f>AI8</f>
        <v>Vencedor Q4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Vencedor S2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2º do Grupo K</v>
      </c>
      <c r="F15" s="149"/>
      <c r="G15" s="123"/>
      <c r="H15" s="84" t="s">
        <v>22</v>
      </c>
      <c r="I15" s="123"/>
      <c r="J15" s="150"/>
      <c r="K15" s="151" t="str">
        <f>IF('Fase de Grupos'!AH73=3,'Fase de Grupos'!AF73,"2º do Grupo L")</f>
        <v>2º do Grupo L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Vencedor 83</v>
      </c>
      <c r="N15" s="133">
        <v>83</v>
      </c>
      <c r="P15" s="133" t="s">
        <v>110</v>
      </c>
      <c r="Q15" s="133" t="str">
        <f>MID($P$6,15,2)</f>
        <v>3E</v>
      </c>
      <c r="R15" s="15" t="str">
        <f>VLOOKUP(Q15,'Fase de Grupos'!$AR$30:$AS$37,2,FALSE)</f>
        <v>Costa do Marfim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Perdedor S1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1º do Grupo H</v>
      </c>
      <c r="F16" s="149"/>
      <c r="G16" s="123"/>
      <c r="H16" s="84" t="s">
        <v>22</v>
      </c>
      <c r="I16" s="123"/>
      <c r="J16" s="150"/>
      <c r="K16" s="151" t="str">
        <f>IF('Fase de Grupos'!AH61=3,'Fase de Grupos'!AF61,"2º do Grupo J")</f>
        <v>2º do Grupo J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Vencedor 84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Perdedor S2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1º do Grupo B</v>
      </c>
      <c r="F17" s="149"/>
      <c r="G17" s="123"/>
      <c r="H17" s="84" t="s">
        <v>22</v>
      </c>
      <c r="I17" s="123"/>
      <c r="J17" s="150"/>
      <c r="K17" s="151" t="str">
        <f>IF('Fase de Grupos'!$BL$18=36,R9,"3º E, F, G, I ou J")</f>
        <v>3º E, F, G, I ou J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Vencedor 85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3" t="s">
        <v>77</v>
      </c>
      <c r="Y17" s="194"/>
      <c r="Z17" s="194"/>
      <c r="AA17" s="194"/>
      <c r="AB17" s="194"/>
      <c r="AC17" s="194"/>
      <c r="AD17" s="194"/>
      <c r="AE17" s="194"/>
      <c r="AF17" s="194"/>
      <c r="AG17" s="195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1º do Grupo J</v>
      </c>
      <c r="F18" s="149"/>
      <c r="G18" s="123"/>
      <c r="H18" s="84" t="s">
        <v>22</v>
      </c>
      <c r="I18" s="123"/>
      <c r="J18" s="150"/>
      <c r="K18" s="151" t="str">
        <f>IF('Fase de Grupos'!AH49=3,'Fase de Grupos'!AF49,"2º do Grupo H")</f>
        <v>2º do Grupo H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Vencedor 86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196" t="s">
        <v>17</v>
      </c>
      <c r="AB18" s="196"/>
      <c r="AC18" s="196" t="s">
        <v>18</v>
      </c>
      <c r="AD18" s="196"/>
      <c r="AE18" s="196"/>
      <c r="AF18" s="196" t="s">
        <v>17</v>
      </c>
      <c r="AG18" s="196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1º do Grupo K</v>
      </c>
      <c r="F19" s="149"/>
      <c r="G19" s="123"/>
      <c r="H19" s="84" t="s">
        <v>22</v>
      </c>
      <c r="I19" s="123"/>
      <c r="J19" s="150"/>
      <c r="K19" s="151" t="str">
        <f>IF('Fase de Grupos'!$BL$18=36,R14,"3º D, E, I, J ou L")</f>
        <v>3º D, E, I, J ou L</v>
      </c>
      <c r="L19" s="136" t="str">
        <f t="shared" si="4"/>
        <v/>
      </c>
      <c r="M19" s="133" t="str">
        <f>IF(OR(G19="",I19=""),"Vencedor 87",IF(G19&lt;&gt;I19,IF(G19&gt;I19,E19,K19),IF(SUM(F19:G19)=SUM(I19:J19),"Vencedor 87",IF(SUM(F19:G19)&gt;SUM(I19:J19),E19,K19))))</f>
        <v>Vencedor 87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Perdedor S1</v>
      </c>
      <c r="AB19" s="149"/>
      <c r="AC19" s="123"/>
      <c r="AD19" s="84" t="s">
        <v>22</v>
      </c>
      <c r="AE19" s="123"/>
      <c r="AF19" s="150"/>
      <c r="AG19" s="151" t="str">
        <f>AI16</f>
        <v>Perdedor S2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3º Lugar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2º do Grupo D</v>
      </c>
      <c r="F20" s="149"/>
      <c r="G20" s="123"/>
      <c r="H20" s="84" t="s">
        <v>22</v>
      </c>
      <c r="I20" s="123"/>
      <c r="J20" s="150"/>
      <c r="K20" s="151" t="str">
        <f>IF('Fase de Grupos'!AH43=3,'Fase de Grupos'!AF43,"2º do Grupo G")</f>
        <v>2º do Grupo G</v>
      </c>
      <c r="L20" s="136" t="str">
        <f t="shared" si="4"/>
        <v/>
      </c>
      <c r="M20" s="133" t="str">
        <f>IF(OR(G20="",I20=""),"Vencedor 88",IF(G20&lt;&gt;I20,IF(G20&gt;I20,E20,K20),IF(SUM(F20:G20)=SUM(I20:J20),"Vencedor 88",IF(SUM(F20:G20)&gt;SUM(I20:J20),E20,K20))))</f>
        <v>Vencedor 88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4º Lugar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3" t="s">
        <v>72</v>
      </c>
      <c r="C23" s="194"/>
      <c r="D23" s="194"/>
      <c r="E23" s="194"/>
      <c r="F23" s="194"/>
      <c r="G23" s="194"/>
      <c r="H23" s="194"/>
      <c r="I23" s="194"/>
      <c r="J23" s="194"/>
      <c r="K23" s="195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3" t="s">
        <v>79</v>
      </c>
      <c r="Y23" s="194"/>
      <c r="Z23" s="194"/>
      <c r="AA23" s="194"/>
      <c r="AB23" s="194"/>
      <c r="AC23" s="194"/>
      <c r="AD23" s="194"/>
      <c r="AE23" s="194"/>
      <c r="AF23" s="194"/>
      <c r="AG23" s="195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196" t="s">
        <v>17</v>
      </c>
      <c r="F24" s="196"/>
      <c r="G24" s="196" t="s">
        <v>18</v>
      </c>
      <c r="H24" s="196"/>
      <c r="I24" s="196"/>
      <c r="J24" s="196" t="s">
        <v>17</v>
      </c>
      <c r="K24" s="196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196" t="s">
        <v>17</v>
      </c>
      <c r="AB24" s="196"/>
      <c r="AC24" s="196" t="s">
        <v>18</v>
      </c>
      <c r="AD24" s="196"/>
      <c r="AE24" s="196"/>
      <c r="AF24" s="196" t="s">
        <v>17</v>
      </c>
      <c r="AG24" s="196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Vencedor 74</v>
      </c>
      <c r="F25" s="149"/>
      <c r="G25" s="123"/>
      <c r="H25" s="84" t="s">
        <v>22</v>
      </c>
      <c r="I25" s="123"/>
      <c r="J25" s="150"/>
      <c r="K25" s="151" t="str">
        <f>M9</f>
        <v>Vencedor 77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Vencedor 89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Vencedor S1</v>
      </c>
      <c r="AB25" s="149"/>
      <c r="AC25" s="123"/>
      <c r="AD25" s="84" t="s">
        <v>22</v>
      </c>
      <c r="AE25" s="123"/>
      <c r="AF25" s="150"/>
      <c r="AG25" s="151" t="str">
        <f>AI14</f>
        <v>Vencedor S2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1º Lugar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Vencedor 73</v>
      </c>
      <c r="F26" s="149"/>
      <c r="G26" s="123"/>
      <c r="H26" s="84" t="s">
        <v>22</v>
      </c>
      <c r="I26" s="123"/>
      <c r="J26" s="150"/>
      <c r="K26" s="151" t="str">
        <f>M7</f>
        <v>Vencedor 75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Vencedor 90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Vencedor 76</v>
      </c>
      <c r="F27" s="149"/>
      <c r="G27" s="123"/>
      <c r="H27" s="84" t="s">
        <v>22</v>
      </c>
      <c r="I27" s="123"/>
      <c r="J27" s="150"/>
      <c r="K27" s="151" t="str">
        <f>M10</f>
        <v>Vencedor 78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Vencedor 91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Vencedor 79</v>
      </c>
      <c r="F28" s="149"/>
      <c r="G28" s="123"/>
      <c r="H28" s="84" t="s">
        <v>22</v>
      </c>
      <c r="I28" s="123"/>
      <c r="J28" s="150"/>
      <c r="K28" s="151" t="str">
        <f>M12</f>
        <v>Vencedor 80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Vencedor 92</v>
      </c>
      <c r="N28" s="133">
        <v>92</v>
      </c>
      <c r="T28" s="15" t="s">
        <v>109</v>
      </c>
      <c r="U28" s="15">
        <f t="shared" ref="U28:U30" si="21">U27+5</f>
        <v>65</v>
      </c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Vencedor 83</v>
      </c>
      <c r="F29" s="149"/>
      <c r="G29" s="123"/>
      <c r="H29" s="84" t="s">
        <v>22</v>
      </c>
      <c r="I29" s="123"/>
      <c r="J29" s="150"/>
      <c r="K29" s="151" t="str">
        <f>M16</f>
        <v>Vencedor 84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Vencedor 93</v>
      </c>
      <c r="N29" s="133">
        <v>93</v>
      </c>
      <c r="T29" s="15" t="s">
        <v>130</v>
      </c>
      <c r="U29" s="15">
        <f t="shared" ref="U29:U31" si="22">U28+1</f>
        <v>66</v>
      </c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Vencedor 81</v>
      </c>
      <c r="F30" s="149"/>
      <c r="G30" s="123"/>
      <c r="H30" s="84" t="s">
        <v>22</v>
      </c>
      <c r="I30" s="123"/>
      <c r="J30" s="150"/>
      <c r="K30" s="151" t="str">
        <f>M14</f>
        <v>Vencedor 82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Vencedor 94</v>
      </c>
      <c r="N30" s="133">
        <v>94</v>
      </c>
      <c r="T30" s="15" t="s">
        <v>110</v>
      </c>
      <c r="U30" s="15">
        <f t="shared" si="21"/>
        <v>71</v>
      </c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Vencedor 86</v>
      </c>
      <c r="F31" s="149"/>
      <c r="G31" s="123"/>
      <c r="H31" s="84" t="s">
        <v>22</v>
      </c>
      <c r="I31" s="123"/>
      <c r="J31" s="150"/>
      <c r="K31" s="151" t="str">
        <f>M20</f>
        <v>Vencedor 88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Vencedor 95</v>
      </c>
      <c r="N31" s="133">
        <v>95</v>
      </c>
      <c r="T31" s="15" t="s">
        <v>129</v>
      </c>
      <c r="U31" s="15">
        <f t="shared" si="22"/>
        <v>72</v>
      </c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Vencedor 85</v>
      </c>
      <c r="F32" s="149"/>
      <c r="G32" s="123"/>
      <c r="H32" s="84" t="s">
        <v>22</v>
      </c>
      <c r="I32" s="123"/>
      <c r="J32" s="150"/>
      <c r="K32" s="151" t="str">
        <f>M19</f>
        <v>Vencedor 87</v>
      </c>
      <c r="L32" s="136" t="str">
        <f t="shared" si="18"/>
        <v/>
      </c>
      <c r="M32" s="133" t="str">
        <f>IF(OR(G32="",I32=""),"Vencedor 96",IF(G32&lt;&gt;I32,IF(G32&gt;I32,E32,K32),IF(SUM(F32:G32)=SUM(I32:J32),"Vencedor 96",IF(SUM(F32:G32)&gt;SUM(I32:J32),E32,K32))))</f>
        <v>Vencedor 96</v>
      </c>
      <c r="N32" s="133">
        <v>96</v>
      </c>
    </row>
    <row r="33" spans="2:33" x14ac:dyDescent="0.25">
      <c r="C33" s="137"/>
    </row>
    <row r="34" spans="2:33" ht="21" x14ac:dyDescent="0.35">
      <c r="B34" s="140"/>
      <c r="X34" s="158" t="s">
        <v>206</v>
      </c>
      <c r="Y34" s="202" t="s">
        <v>81</v>
      </c>
      <c r="Z34" s="202"/>
      <c r="AA34" s="202"/>
      <c r="AB34" s="197" t="str">
        <f>IF(AI25="1º Lugar","",AI25)</f>
        <v/>
      </c>
      <c r="AC34" s="197"/>
      <c r="AD34" s="197"/>
      <c r="AE34" s="197"/>
      <c r="AF34" s="197"/>
      <c r="AG34" s="197"/>
    </row>
    <row r="35" spans="2:33" ht="18.75" x14ac:dyDescent="0.3">
      <c r="B35" s="140"/>
      <c r="X35" s="159" t="s">
        <v>207</v>
      </c>
      <c r="Y35" s="200" t="s">
        <v>82</v>
      </c>
      <c r="Z35" s="200"/>
      <c r="AA35" s="200"/>
      <c r="AB35" s="198" t="str">
        <f>IF(M57="2º Lugar","",M57)</f>
        <v/>
      </c>
      <c r="AC35" s="198"/>
      <c r="AD35" s="198"/>
      <c r="AE35" s="198"/>
      <c r="AF35" s="198"/>
      <c r="AG35" s="198"/>
    </row>
    <row r="36" spans="2:33" ht="15.75" x14ac:dyDescent="0.25">
      <c r="B36" s="140"/>
      <c r="X36" s="160" t="s">
        <v>208</v>
      </c>
      <c r="Y36" s="201" t="s">
        <v>83</v>
      </c>
      <c r="Z36" s="201"/>
      <c r="AA36" s="201"/>
      <c r="AB36" s="199" t="str">
        <f>IF(AI19="3º Lugar","",AI19)</f>
        <v/>
      </c>
      <c r="AC36" s="199"/>
      <c r="AD36" s="199"/>
      <c r="AE36" s="199"/>
      <c r="AF36" s="199"/>
      <c r="AG36" s="199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NcafoOoEQ2MbNzyiK0DdoaXhnGtaouqyNETNtM1mFkFhB8eRUn0pz+sE7du8dGmgFWHYaZbDVZUwxcnGN1osbA==" saltValue="0X36Yq5ioWWlmaoOaDrxJQ==" spinCount="100000" sheet="1" objects="1" scenarios="1" selectLockedCells="1"/>
  <mergeCells count="30"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03"/>
      <c r="F4" s="203"/>
      <c r="H4" s="203"/>
      <c r="J4" s="203"/>
      <c r="L4" s="203"/>
      <c r="N4" s="203"/>
      <c r="P4" s="203"/>
      <c r="R4" s="203"/>
      <c r="T4" s="203"/>
      <c r="V4" s="203"/>
      <c r="X4" s="203"/>
      <c r="Z4" s="203"/>
      <c r="AB4" s="203"/>
      <c r="AD4" s="203"/>
      <c r="AF4" s="203"/>
      <c r="AH4" s="203"/>
    </row>
    <row r="5" spans="2:34" x14ac:dyDescent="0.3">
      <c r="C5" s="169" t="s">
        <v>163</v>
      </c>
      <c r="D5" s="203"/>
      <c r="F5" s="203"/>
      <c r="H5" s="203"/>
      <c r="J5" s="203"/>
      <c r="L5" s="203"/>
      <c r="N5" s="203"/>
      <c r="P5" s="203"/>
      <c r="R5" s="203"/>
      <c r="T5" s="203"/>
      <c r="V5" s="203"/>
      <c r="X5" s="203"/>
      <c r="Z5" s="203"/>
      <c r="AB5" s="203"/>
      <c r="AD5" s="203"/>
      <c r="AF5" s="203"/>
      <c r="AH5" s="203"/>
    </row>
    <row r="6" spans="2:34" x14ac:dyDescent="0.3">
      <c r="C6" s="169" t="s">
        <v>162</v>
      </c>
      <c r="D6" s="203"/>
      <c r="F6" s="203"/>
      <c r="H6" s="203"/>
      <c r="J6" s="203"/>
      <c r="L6" s="203"/>
      <c r="N6" s="203"/>
      <c r="P6" s="203"/>
      <c r="R6" s="203"/>
      <c r="T6" s="203"/>
      <c r="V6" s="203"/>
      <c r="X6" s="203"/>
      <c r="Z6" s="203"/>
      <c r="AB6" s="203"/>
      <c r="AD6" s="203"/>
      <c r="AF6" s="203"/>
      <c r="AH6" s="203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xmlns:xlrd2="http://schemas.microsoft.com/office/spreadsheetml/2017/richdata2" ref="C59:C64">
    <sortCondition ref="C59:C64"/>
  </sortState>
  <mergeCells count="16">
    <mergeCell ref="N4:N6"/>
    <mergeCell ref="D4:D6"/>
    <mergeCell ref="F4:F6"/>
    <mergeCell ref="H4:H6"/>
    <mergeCell ref="J4:J6"/>
    <mergeCell ref="L4:L6"/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2026-06-08T19:03:02Z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