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autoCompressPictures="0"/>
  <mc:AlternateContent xmlns:mc="http://schemas.openxmlformats.org/markup-compatibility/2006">
    <mc:Choice Requires="x15">
      <x15ac:absPath xmlns:x15ac="http://schemas.microsoft.com/office/spreadsheetml/2010/11/ac" url="G:\Facu\4º año\Ingenieria de Software (ISW)\"/>
    </mc:Choice>
  </mc:AlternateContent>
  <xr:revisionPtr revIDLastSave="0" documentId="13_ncr:1_{F301638B-15CB-4892-A236-9CC0B4532F45}" xr6:coauthVersionLast="31" xr6:coauthVersionMax="31" xr10:uidLastSave="{00000000-0000-0000-0000-000000000000}"/>
  <bookViews>
    <workbookView xWindow="0" yWindow="0" windowWidth="21600" windowHeight="9510" tabRatio="741" firstSheet="2" activeTab="3" xr2:uid="{00000000-000D-0000-FFFF-FFFF00000000}"/>
  </bookViews>
  <sheets>
    <sheet name="Ene" sheetId="1" state="hidden" r:id="rId1"/>
    <sheet name="Feb" sheetId="6" state="hidden" r:id="rId2"/>
    <sheet name="Mar" sheetId="17" r:id="rId3"/>
    <sheet name="Abr" sheetId="18" r:id="rId4"/>
    <sheet name="May" sheetId="19" r:id="rId5"/>
    <sheet name="Jun" sheetId="20" r:id="rId6"/>
    <sheet name="Jul" sheetId="21" r:id="rId7"/>
    <sheet name="Ago" sheetId="22" state="hidden" r:id="rId8"/>
    <sheet name="Sep" sheetId="23" state="hidden" r:id="rId9"/>
    <sheet name="Oct" sheetId="24" state="hidden" r:id="rId10"/>
    <sheet name="Nov" sheetId="25" state="hidden" r:id="rId11"/>
    <sheet name="Dic" sheetId="26" state="hidden" r:id="rId12"/>
  </sheets>
  <definedNames>
    <definedName name="AbrDom1">DATE(AñoCalendario,4,1)-WEEKDAY(DATE(AñoCalendario,4,1))+1</definedName>
    <definedName name="AgoDom1">DATE(AñoCalendario,8,1)-WEEKDAY(DATE(AñoCalendario,8,1))+1</definedName>
    <definedName name="AñoCalendario">Ene!$B$1</definedName>
    <definedName name="AssignmentDays" localSheetId="3">Abr!$K$2:$K$31</definedName>
    <definedName name="AssignmentDays" localSheetId="7">Ago!$K$2:$K$31</definedName>
    <definedName name="AssignmentDays" localSheetId="11">Dic!$K$2:$K$31</definedName>
    <definedName name="AssignmentDays" localSheetId="1">Feb!$K$2:$K$31</definedName>
    <definedName name="AssignmentDays" localSheetId="6">Jul!$K$2:$K$31</definedName>
    <definedName name="AssignmentDays" localSheetId="5">Jun!$K$2:$K$31</definedName>
    <definedName name="AssignmentDays" localSheetId="2">Mar!$K$2:$K$31</definedName>
    <definedName name="AssignmentDays" localSheetId="4">May!$K$2:$K$31</definedName>
    <definedName name="AssignmentDays" localSheetId="10">Nov!$K$2:$K$31</definedName>
    <definedName name="AssignmentDays" localSheetId="9">Oct!$K$2:$K$31</definedName>
    <definedName name="AssignmentDays" localSheetId="8">Sep!$K$2:$K$31</definedName>
    <definedName name="AssignmentDays">Ene!$K$2:$K$31</definedName>
    <definedName name="ColumnTitleRegion1..I8.1">Ene!$C$2</definedName>
    <definedName name="ColumnTitleRegion1..I8.10">Oct!$C$2</definedName>
    <definedName name="ColumnTitleRegion1..I8.11">Nov!$C$2</definedName>
    <definedName name="ColumnTitleRegion1..I8.12">Dic!$C$2</definedName>
    <definedName name="ColumnTitleRegion1..I8.2">Feb!$C$2</definedName>
    <definedName name="ColumnTitleRegion1..I8.3">Mar!$C$2</definedName>
    <definedName name="ColumnTitleRegion1..I8.4">Abr!$C$2</definedName>
    <definedName name="ColumnTitleRegion1..I8.5">May!$C$2</definedName>
    <definedName name="ColumnTitleRegion1..I8.6">Jun!$C$2</definedName>
    <definedName name="ColumnTitleRegion1..I8.7">Jul!$C$2</definedName>
    <definedName name="ColumnTitleRegion1..I8.8">Ago!$C$2</definedName>
    <definedName name="ColumnTitleRegion1..I8.9">Sep!$C$2</definedName>
    <definedName name="DecDom1">DATE(AñoCalendario,12,1)-WEEKDAY(DATE(AñoCalendario,12,1))+1</definedName>
    <definedName name="FebDom1">DATE(AñoCalendario,2,1)-WEEKDAY(DATE(AñoCalendario,2,1))+1</definedName>
    <definedName name="ImportantDatesTable" localSheetId="3">Abr!$K$2:$L$6</definedName>
    <definedName name="ImportantDatesTable" localSheetId="7">Ago!$K$2:$L$6</definedName>
    <definedName name="ImportantDatesTable" localSheetId="11">Dic!$K$2:$L$6</definedName>
    <definedName name="ImportantDatesTable" localSheetId="1">Feb!$K$2:$L$6</definedName>
    <definedName name="ImportantDatesTable" localSheetId="6">Jul!$K$2:$L$6</definedName>
    <definedName name="ImportantDatesTable" localSheetId="5">Jun!$K$2:$L$6</definedName>
    <definedName name="ImportantDatesTable" localSheetId="2">Mar!$K$2:$L$6</definedName>
    <definedName name="ImportantDatesTable" localSheetId="4">May!$K$2:$L$6</definedName>
    <definedName name="ImportantDatesTable" localSheetId="10">Nov!$K$2:$L$6</definedName>
    <definedName name="ImportantDatesTable" localSheetId="9">Oct!$K$2:$L$6</definedName>
    <definedName name="ImportantDatesTable" localSheetId="8">Sep!$K$2:$L$6</definedName>
    <definedName name="ImportantDatesTable">Ene!$K$2:$L$6</definedName>
    <definedName name="JanDom1">DATE(AñoCalendario,1,1)-WEEKDAY(DATE(AñoCalendario,1,1))+1</definedName>
    <definedName name="JulDom1">DATE(AñoCalendario,7,1)-WEEKDAY(DATE(AñoCalendario,7,1))+1</definedName>
    <definedName name="JunDom1">DATE(AñoCalendario,6,1)-WEEKDAY(DATE(AñoCalendario,6,1))+1</definedName>
    <definedName name="MarDom1">DATE(AñoCalendario,3,1)-WEEKDAY(DATE(AñoCalendario,3,1))+1</definedName>
    <definedName name="MayDom1">DATE(AñoCalendario,5,1)-WEEKDAY(DATE(AñoCalendario,5,1))+1</definedName>
    <definedName name="NovDom1">DATE(AñoCalendario,11,1)-WEEKDAY(DATE(AñoCalendario,11,1))+1</definedName>
    <definedName name="OctDom1">DATE(AñoCalendario,10,1)-WEEKDAY(DATE(AñoCalendario,10,1))+1</definedName>
    <definedName name="SepDom1">DATE(AñoCalendario,9,1)-WEEKDAY(DATE(AñoCalendario,9,1))+1</definedName>
    <definedName name="TitleRegion2..I31.1">Ene!$A$11</definedName>
    <definedName name="TitleRegion2..I31.10">Oct!$A$11</definedName>
    <definedName name="TitleRegion2..I31.11">Nov!$A$11</definedName>
    <definedName name="TitleRegion2..I31.12">Dic!$A$11</definedName>
    <definedName name="TitleRegion2..I31.2">Feb!$A$11</definedName>
    <definedName name="TitleRegion2..I31.3">Mar!$A$11</definedName>
    <definedName name="TitleRegion2..I31.4">Abr!$A$11</definedName>
    <definedName name="TitleRegion2..I31.5">May!$A$11</definedName>
    <definedName name="TitleRegion2..I31.6">Jun!$A$11</definedName>
    <definedName name="TitleRegion2..I31.7">Jul!$A$11</definedName>
    <definedName name="TitleRegion2..I31.8">Ago!$A$11</definedName>
    <definedName name="TitleRegion2..I31.9">Sep!$A$11</definedName>
    <definedName name="TítuloDeColumna1">EneroTareas[[#Headers],[Día de la semana]]</definedName>
    <definedName name="TítuloDeColumna10">OctubreTareas[[#Headers],[Día de la semana]]</definedName>
    <definedName name="TítuloDeColumna11">NoviembreTareas[[#Headers],[Día de la semana]]</definedName>
    <definedName name="TítuloDeColumna12">DiciembreTareas[[#Headers],[Día de la semana]]</definedName>
    <definedName name="TítuloDeColumna2">FebreroTareas[[#Headers],[Día de la semana]]</definedName>
    <definedName name="TítuloDeColumna3">MarzoTareas[[#Headers],[Día de la semana]]</definedName>
    <definedName name="TítuloDeColumna4">AbrilTareas[[#Headers],[Día de la semana]]</definedName>
    <definedName name="TítuloDeColumna5">MayoTareas[[#Headers],[Día de la semana]]</definedName>
    <definedName name="TítuloDeColumna6">JunioTareas[[#Headers],[Día de la semana]]</definedName>
    <definedName name="TítuloDeColumna7">JulioTareas[[#Headers],[Día de la semana]]</definedName>
    <definedName name="TítuloDeColumna8">AgostoTareas[[#Headers],[Día de la semana]]</definedName>
    <definedName name="TítuloDeColumna9">SeptiembreTareas[[#Headers],[Día de la semana]]</definedName>
  </definedName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B1" i="1" l="1"/>
  <c r="H8" i="22"/>
  <c r="F8" i="22"/>
  <c r="D8" i="22"/>
  <c r="I7" i="22"/>
  <c r="G7" i="22"/>
  <c r="E7" i="22"/>
  <c r="C7" i="22"/>
  <c r="H6" i="22"/>
  <c r="F6" i="22"/>
  <c r="D6" i="22"/>
  <c r="I5" i="22"/>
  <c r="G5" i="22"/>
  <c r="E5" i="22"/>
  <c r="C5" i="22"/>
  <c r="H4" i="22"/>
  <c r="F4" i="22"/>
  <c r="D4" i="22"/>
  <c r="I3" i="22"/>
  <c r="G3" i="22"/>
  <c r="E3" i="22"/>
  <c r="C3" i="22"/>
  <c r="I8" i="22"/>
  <c r="G8" i="22"/>
  <c r="E8" i="22"/>
  <c r="C8" i="22"/>
  <c r="H7" i="22"/>
  <c r="F7" i="22"/>
  <c r="D7" i="22"/>
  <c r="I6" i="22"/>
  <c r="G6" i="22"/>
  <c r="E6" i="22"/>
  <c r="C6" i="22"/>
  <c r="H5" i="22"/>
  <c r="F5" i="22"/>
  <c r="D5" i="22"/>
  <c r="I4" i="22"/>
  <c r="G4" i="22"/>
  <c r="E4" i="22"/>
  <c r="C4" i="22"/>
  <c r="H3" i="22"/>
  <c r="F3" i="22"/>
  <c r="D3" i="22"/>
  <c r="H8" i="18"/>
  <c r="F8" i="18"/>
  <c r="D8" i="18"/>
  <c r="I7" i="18"/>
  <c r="G7" i="18"/>
  <c r="E7" i="18"/>
  <c r="C7" i="18"/>
  <c r="H6" i="18"/>
  <c r="F6" i="18"/>
  <c r="D6" i="18"/>
  <c r="I5" i="18"/>
  <c r="G5" i="18"/>
  <c r="E5" i="18"/>
  <c r="C5" i="18"/>
  <c r="H4" i="18"/>
  <c r="F4" i="18"/>
  <c r="D4" i="18"/>
  <c r="I3" i="18"/>
  <c r="G3" i="18"/>
  <c r="E3" i="18"/>
  <c r="C3" i="18"/>
  <c r="I8" i="18"/>
  <c r="G8" i="18"/>
  <c r="E8" i="18"/>
  <c r="C8" i="18"/>
  <c r="H7" i="18"/>
  <c r="F7" i="18"/>
  <c r="D7" i="18"/>
  <c r="I6" i="18"/>
  <c r="G6" i="18"/>
  <c r="E6" i="18"/>
  <c r="C6" i="18"/>
  <c r="H5" i="18"/>
  <c r="F5" i="18"/>
  <c r="D5" i="18"/>
  <c r="I4" i="18"/>
  <c r="G4" i="18"/>
  <c r="E4" i="18"/>
  <c r="C4" i="18"/>
  <c r="H3" i="18"/>
  <c r="F3" i="18"/>
  <c r="D3" i="18"/>
  <c r="B1" i="18"/>
  <c r="B1" i="20"/>
  <c r="B1" i="22"/>
  <c r="B1" i="24"/>
  <c r="B1" i="26"/>
  <c r="B1" i="17"/>
  <c r="B1" i="19"/>
  <c r="B1" i="21"/>
  <c r="B1" i="23"/>
  <c r="B1" i="25"/>
  <c r="B1" i="6"/>
  <c r="I8" i="26"/>
  <c r="E8" i="26"/>
  <c r="H7" i="26"/>
  <c r="D7" i="26"/>
  <c r="G6" i="26"/>
  <c r="C6" i="26"/>
  <c r="F5" i="26"/>
  <c r="I4" i="26"/>
  <c r="E4" i="26"/>
  <c r="H3" i="26"/>
  <c r="D3" i="26"/>
  <c r="E7" i="26"/>
  <c r="G5" i="26"/>
  <c r="F4" i="26"/>
  <c r="H8" i="26"/>
  <c r="D8" i="26"/>
  <c r="G7" i="26"/>
  <c r="C7" i="26"/>
  <c r="F6" i="26"/>
  <c r="I5" i="26"/>
  <c r="E5" i="26"/>
  <c r="H4" i="26"/>
  <c r="D4" i="26"/>
  <c r="G3" i="26"/>
  <c r="C3" i="26"/>
  <c r="D6" i="26"/>
  <c r="E3" i="26"/>
  <c r="G8" i="26"/>
  <c r="C8" i="26"/>
  <c r="F7" i="26"/>
  <c r="I6" i="26"/>
  <c r="E6" i="26"/>
  <c r="H5" i="26"/>
  <c r="D5" i="26"/>
  <c r="G4" i="26"/>
  <c r="C4" i="26"/>
  <c r="F3" i="26"/>
  <c r="F8" i="26"/>
  <c r="I7" i="26"/>
  <c r="H6" i="26"/>
  <c r="C5" i="26"/>
  <c r="I3" i="26"/>
  <c r="I8" i="25"/>
  <c r="E8" i="25"/>
  <c r="H7" i="25"/>
  <c r="D7" i="25"/>
  <c r="G6" i="25"/>
  <c r="C6" i="25"/>
  <c r="F5" i="25"/>
  <c r="I4" i="25"/>
  <c r="E4" i="25"/>
  <c r="H3" i="25"/>
  <c r="D3" i="25"/>
  <c r="I7" i="25"/>
  <c r="D6" i="25"/>
  <c r="C5" i="25"/>
  <c r="E3" i="25"/>
  <c r="H8" i="25"/>
  <c r="D8" i="25"/>
  <c r="G7" i="25"/>
  <c r="C7" i="25"/>
  <c r="F6" i="25"/>
  <c r="I5" i="25"/>
  <c r="E5" i="25"/>
  <c r="H4" i="25"/>
  <c r="D4" i="25"/>
  <c r="G3" i="25"/>
  <c r="C3" i="25"/>
  <c r="H6" i="25"/>
  <c r="F4" i="25"/>
  <c r="G8" i="25"/>
  <c r="C8" i="25"/>
  <c r="F7" i="25"/>
  <c r="I6" i="25"/>
  <c r="E6" i="25"/>
  <c r="H5" i="25"/>
  <c r="D5" i="25"/>
  <c r="G4" i="25"/>
  <c r="C4" i="25"/>
  <c r="F3" i="25"/>
  <c r="F8" i="25"/>
  <c r="E7" i="25"/>
  <c r="G5" i="25"/>
  <c r="I3" i="25"/>
  <c r="I8" i="24"/>
  <c r="E8" i="24"/>
  <c r="H7" i="24"/>
  <c r="D7" i="24"/>
  <c r="G6" i="24"/>
  <c r="C6" i="24"/>
  <c r="F5" i="24"/>
  <c r="I4" i="24"/>
  <c r="E4" i="24"/>
  <c r="H3" i="24"/>
  <c r="D3" i="24"/>
  <c r="C8" i="24"/>
  <c r="I6" i="24"/>
  <c r="H5" i="24"/>
  <c r="G4" i="24"/>
  <c r="F3" i="24"/>
  <c r="I7" i="24"/>
  <c r="H6" i="24"/>
  <c r="G5" i="24"/>
  <c r="F4" i="24"/>
  <c r="E3" i="24"/>
  <c r="H8" i="24"/>
  <c r="D8" i="24"/>
  <c r="G7" i="24"/>
  <c r="C7" i="24"/>
  <c r="F6" i="24"/>
  <c r="I5" i="24"/>
  <c r="E5" i="24"/>
  <c r="H4" i="24"/>
  <c r="D4" i="24"/>
  <c r="G3" i="24"/>
  <c r="C3" i="24"/>
  <c r="G8" i="24"/>
  <c r="F7" i="24"/>
  <c r="E6" i="24"/>
  <c r="D5" i="24"/>
  <c r="C4" i="24"/>
  <c r="F8" i="24"/>
  <c r="E7" i="24"/>
  <c r="D6" i="24"/>
  <c r="C5" i="24"/>
  <c r="I3" i="24"/>
  <c r="I8" i="23"/>
  <c r="E8" i="23"/>
  <c r="H7" i="23"/>
  <c r="D7" i="23"/>
  <c r="G6" i="23"/>
  <c r="C6" i="23"/>
  <c r="F5" i="23"/>
  <c r="I4" i="23"/>
  <c r="E4" i="23"/>
  <c r="H3" i="23"/>
  <c r="D3" i="23"/>
  <c r="I7" i="23"/>
  <c r="G5" i="23"/>
  <c r="E3" i="23"/>
  <c r="H8" i="23"/>
  <c r="D8" i="23"/>
  <c r="G7" i="23"/>
  <c r="C7" i="23"/>
  <c r="F6" i="23"/>
  <c r="I5" i="23"/>
  <c r="E5" i="23"/>
  <c r="H4" i="23"/>
  <c r="D4" i="23"/>
  <c r="G3" i="23"/>
  <c r="C3" i="23"/>
  <c r="E7" i="23"/>
  <c r="C5" i="23"/>
  <c r="I3" i="23"/>
  <c r="G8" i="23"/>
  <c r="C8" i="23"/>
  <c r="F7" i="23"/>
  <c r="I6" i="23"/>
  <c r="E6" i="23"/>
  <c r="H5" i="23"/>
  <c r="D5" i="23"/>
  <c r="G4" i="23"/>
  <c r="C4" i="23"/>
  <c r="F3" i="23"/>
  <c r="F8" i="23"/>
  <c r="H6" i="23"/>
  <c r="D6" i="23"/>
  <c r="F4" i="23"/>
  <c r="I8" i="21"/>
  <c r="E8" i="21"/>
  <c r="H7" i="21"/>
  <c r="D7" i="21"/>
  <c r="G6" i="21"/>
  <c r="C6" i="21"/>
  <c r="F5" i="21"/>
  <c r="I4" i="21"/>
  <c r="E4" i="21"/>
  <c r="H3" i="21"/>
  <c r="D3" i="21"/>
  <c r="C8" i="21"/>
  <c r="I6" i="21"/>
  <c r="H5" i="21"/>
  <c r="G4" i="21"/>
  <c r="F3" i="21"/>
  <c r="H8" i="21"/>
  <c r="D8" i="21"/>
  <c r="G7" i="21"/>
  <c r="C7" i="21"/>
  <c r="F6" i="21"/>
  <c r="I5" i="21"/>
  <c r="E5" i="21"/>
  <c r="H4" i="21"/>
  <c r="D4" i="21"/>
  <c r="G3" i="21"/>
  <c r="C3" i="21"/>
  <c r="F7" i="21"/>
  <c r="E6" i="21"/>
  <c r="D5" i="21"/>
  <c r="C4" i="21"/>
  <c r="G8" i="21"/>
  <c r="F8" i="21"/>
  <c r="I7" i="21"/>
  <c r="E7" i="21"/>
  <c r="H6" i="21"/>
  <c r="D6" i="21"/>
  <c r="G5" i="21"/>
  <c r="C5" i="21"/>
  <c r="F4" i="21"/>
  <c r="I3" i="21"/>
  <c r="E3" i="21"/>
  <c r="I8" i="20"/>
  <c r="E8" i="20"/>
  <c r="H7" i="20"/>
  <c r="D7" i="20"/>
  <c r="G6" i="20"/>
  <c r="C6" i="20"/>
  <c r="F5" i="20"/>
  <c r="I4" i="20"/>
  <c r="E4" i="20"/>
  <c r="H3" i="20"/>
  <c r="D3" i="20"/>
  <c r="E7" i="20"/>
  <c r="D6" i="20"/>
  <c r="F4" i="20"/>
  <c r="H8" i="20"/>
  <c r="D8" i="20"/>
  <c r="G7" i="20"/>
  <c r="C7" i="20"/>
  <c r="F6" i="20"/>
  <c r="I5" i="20"/>
  <c r="E5" i="20"/>
  <c r="H4" i="20"/>
  <c r="D4" i="20"/>
  <c r="G3" i="20"/>
  <c r="C3" i="20"/>
  <c r="I7" i="20"/>
  <c r="G5" i="20"/>
  <c r="I3" i="20"/>
  <c r="G8" i="20"/>
  <c r="C8" i="20"/>
  <c r="F7" i="20"/>
  <c r="I6" i="20"/>
  <c r="E6" i="20"/>
  <c r="H5" i="20"/>
  <c r="D5" i="20"/>
  <c r="G4" i="20"/>
  <c r="C4" i="20"/>
  <c r="F3" i="20"/>
  <c r="F8" i="20"/>
  <c r="H6" i="20"/>
  <c r="C5" i="20"/>
  <c r="E3" i="20"/>
  <c r="I8" i="19"/>
  <c r="E8" i="19"/>
  <c r="H7" i="19"/>
  <c r="D7" i="19"/>
  <c r="G6" i="19"/>
  <c r="C6" i="19"/>
  <c r="F5" i="19"/>
  <c r="I4" i="19"/>
  <c r="E4" i="19"/>
  <c r="H3" i="19"/>
  <c r="D3" i="19"/>
  <c r="F4" i="19"/>
  <c r="E3" i="19"/>
  <c r="H8" i="19"/>
  <c r="D8" i="19"/>
  <c r="G7" i="19"/>
  <c r="C7" i="19"/>
  <c r="F6" i="19"/>
  <c r="I5" i="19"/>
  <c r="E5" i="19"/>
  <c r="H4" i="19"/>
  <c r="D4" i="19"/>
  <c r="G3" i="19"/>
  <c r="C3" i="19"/>
  <c r="C5" i="19"/>
  <c r="G8" i="19"/>
  <c r="C8" i="19"/>
  <c r="F7" i="19"/>
  <c r="I6" i="19"/>
  <c r="E6" i="19"/>
  <c r="H5" i="19"/>
  <c r="D5" i="19"/>
  <c r="G4" i="19"/>
  <c r="C4" i="19"/>
  <c r="F3" i="19"/>
  <c r="F8" i="19"/>
  <c r="I7" i="19"/>
  <c r="E7" i="19"/>
  <c r="H6" i="19"/>
  <c r="D6" i="19"/>
  <c r="G5" i="19"/>
  <c r="I3" i="19"/>
  <c r="I8" i="17"/>
  <c r="E8" i="17"/>
  <c r="H7" i="17"/>
  <c r="D7" i="17"/>
  <c r="G6" i="17"/>
  <c r="C6" i="17"/>
  <c r="F5" i="17"/>
  <c r="I4" i="17"/>
  <c r="E4" i="17"/>
  <c r="H3" i="17"/>
  <c r="D3" i="17"/>
  <c r="H8" i="17"/>
  <c r="D8" i="17"/>
  <c r="G7" i="17"/>
  <c r="C7" i="17"/>
  <c r="F6" i="17"/>
  <c r="I5" i="17"/>
  <c r="E5" i="17"/>
  <c r="H4" i="17"/>
  <c r="D4" i="17"/>
  <c r="G3" i="17"/>
  <c r="C3" i="17"/>
  <c r="G8" i="17"/>
  <c r="C8" i="17"/>
  <c r="F7" i="17"/>
  <c r="I6" i="17"/>
  <c r="E6" i="17"/>
  <c r="H5" i="17"/>
  <c r="D5" i="17"/>
  <c r="G4" i="17"/>
  <c r="C4" i="17"/>
  <c r="F3" i="17"/>
  <c r="F8" i="17"/>
  <c r="I7" i="17"/>
  <c r="E7" i="17"/>
  <c r="H6" i="17"/>
  <c r="D6" i="17"/>
  <c r="G5" i="17"/>
  <c r="C5" i="17"/>
  <c r="F4" i="17"/>
  <c r="I3" i="17"/>
  <c r="E3" i="17"/>
  <c r="I8" i="6"/>
  <c r="H8" i="6"/>
  <c r="G8" i="6"/>
  <c r="F8" i="6"/>
  <c r="E8" i="6"/>
  <c r="D8" i="6"/>
  <c r="C8" i="6"/>
  <c r="I7" i="6"/>
  <c r="H7" i="6"/>
  <c r="G7" i="6"/>
  <c r="F7" i="6"/>
  <c r="E7" i="6"/>
  <c r="D7" i="6"/>
  <c r="C7" i="6"/>
  <c r="I6" i="6"/>
  <c r="H6" i="6"/>
  <c r="G6" i="6"/>
  <c r="F6" i="6"/>
  <c r="E6" i="6"/>
  <c r="D6" i="6"/>
  <c r="C6" i="6"/>
  <c r="I5" i="6"/>
  <c r="H5" i="6"/>
  <c r="G5" i="6"/>
  <c r="F5" i="6"/>
  <c r="E5" i="6"/>
  <c r="D5" i="6"/>
  <c r="C5" i="6"/>
  <c r="I4" i="6"/>
  <c r="H4" i="6"/>
  <c r="G4" i="6"/>
  <c r="F4" i="6"/>
  <c r="E4" i="6"/>
  <c r="D4" i="6"/>
  <c r="C4" i="6"/>
  <c r="I3" i="6"/>
  <c r="H3" i="6"/>
  <c r="G3" i="6"/>
  <c r="F3" i="6"/>
  <c r="E3" i="6"/>
  <c r="D3" i="6"/>
  <c r="C3" i="6"/>
  <c r="H3" i="1"/>
  <c r="I8" i="1"/>
  <c r="H8" i="1"/>
  <c r="G8" i="1"/>
  <c r="F8" i="1"/>
  <c r="E8" i="1"/>
  <c r="D8" i="1"/>
  <c r="C8" i="1"/>
  <c r="I7" i="1"/>
  <c r="H7" i="1"/>
  <c r="G7" i="1"/>
  <c r="F7" i="1"/>
  <c r="E7" i="1"/>
  <c r="D7" i="1"/>
  <c r="C7" i="1"/>
  <c r="I6" i="1"/>
  <c r="H6" i="1"/>
  <c r="G6" i="1"/>
  <c r="F6" i="1"/>
  <c r="E6" i="1"/>
  <c r="D6" i="1"/>
  <c r="C6" i="1"/>
  <c r="I5" i="1"/>
  <c r="H5" i="1"/>
  <c r="G5" i="1"/>
  <c r="F5" i="1"/>
  <c r="E5" i="1"/>
  <c r="D5" i="1"/>
  <c r="C5" i="1"/>
  <c r="I4" i="1"/>
  <c r="H4" i="1"/>
  <c r="G4" i="1"/>
  <c r="F4" i="1"/>
  <c r="E4" i="1"/>
  <c r="D4" i="1"/>
  <c r="C4" i="1"/>
  <c r="I3" i="1"/>
  <c r="G3" i="1"/>
  <c r="F3" i="1"/>
  <c r="E3" i="1"/>
  <c r="D3" i="1"/>
  <c r="C3" i="1"/>
</calcChain>
</file>

<file path=xl/sharedStrings.xml><?xml version="1.0" encoding="utf-8"?>
<sst xmlns="http://schemas.openxmlformats.org/spreadsheetml/2006/main" count="714" uniqueCount="64">
  <si>
    <t>Día de la semana</t>
  </si>
  <si>
    <t>Hora</t>
  </si>
  <si>
    <t>Clase</t>
  </si>
  <si>
    <t>ENE</t>
  </si>
  <si>
    <t>PROGRAMACIÓN SEMANAL</t>
  </si>
  <si>
    <t>Francés</t>
  </si>
  <si>
    <t>10:00</t>
  </si>
  <si>
    <t>Matemáticas</t>
  </si>
  <si>
    <t>14:00</t>
  </si>
  <si>
    <t>Inglés</t>
  </si>
  <si>
    <t>Escriba el año natural en la celda B1 a la izquierda.</t>
  </si>
  <si>
    <t>Historia del arte</t>
  </si>
  <si>
    <t>16:00</t>
  </si>
  <si>
    <t>Programación</t>
  </si>
  <si>
    <t>día de calendario</t>
  </si>
  <si>
    <t>TAREAS</t>
  </si>
  <si>
    <t>Francés: Fecha de entrega del borrador del primer artículo</t>
  </si>
  <si>
    <t>Historia del arte: Prueba</t>
  </si>
  <si>
    <t>FEB</t>
  </si>
  <si>
    <t>MAR</t>
  </si>
  <si>
    <t>ABR</t>
  </si>
  <si>
    <t>MAY</t>
  </si>
  <si>
    <t>JUN</t>
  </si>
  <si>
    <t>JUL</t>
  </si>
  <si>
    <t>AGO</t>
  </si>
  <si>
    <t>SEP</t>
  </si>
  <si>
    <t>OCT</t>
  </si>
  <si>
    <t>NOV</t>
  </si>
  <si>
    <t>DIC</t>
  </si>
  <si>
    <t>LU</t>
  </si>
  <si>
    <t>MA</t>
  </si>
  <si>
    <t>MI</t>
  </si>
  <si>
    <t>JU</t>
  </si>
  <si>
    <t>VI</t>
  </si>
  <si>
    <t>SÁ</t>
  </si>
  <si>
    <t>DO</t>
  </si>
  <si>
    <t>Comienzo de año lectivo 2018 UTN FRC</t>
  </si>
  <si>
    <t>1 º Clase de Ingenieria de Software - Intrduccion a la materia</t>
  </si>
  <si>
    <t xml:space="preserve">Clase Teorica ISW </t>
  </si>
  <si>
    <t>Clase Practica - 1º Practico Evaluable  SCM (en clases)</t>
  </si>
  <si>
    <t>Clase Teorica: Administración de
Configuración de Software</t>
  </si>
  <si>
    <t>ISW</t>
  </si>
  <si>
    <t>Clase Practica ISW</t>
  </si>
  <si>
    <t>Practico</t>
  </si>
  <si>
    <t>Feriado - Viernes Santo</t>
  </si>
  <si>
    <t>Feriado - Jueves Santo</t>
  </si>
  <si>
    <t>Feriado - Dia del veterano y caido de Malvinas</t>
  </si>
  <si>
    <t xml:space="preserve">1º Parcial Teorico-Practico (No va SCM)  </t>
  </si>
  <si>
    <t>Feriado - Dia del Trabajador</t>
  </si>
  <si>
    <t>Feriado - Dia de la Revolucion de Mayo</t>
  </si>
  <si>
    <t>Feriado - Puente</t>
  </si>
  <si>
    <t>Feriado: Paso a la inmortalidad General Martin de Guemes</t>
  </si>
  <si>
    <t xml:space="preserve">2º Parcial Teorico-Practico  </t>
  </si>
  <si>
    <t>Recuperatorio de Parcial</t>
  </si>
  <si>
    <t>Fin del 1º Cuatrimertre - Fin Cursado Ing. De Software</t>
  </si>
  <si>
    <t>TAREAS - Comentarios</t>
  </si>
  <si>
    <t xml:space="preserve">Entrega de TP Evaluable 1º - 2º Trabajo Practico Evaluable (En clases) </t>
  </si>
  <si>
    <t xml:space="preserve">Hacer TP3 en clases </t>
  </si>
  <si>
    <t>TP4 entregable, tipo Parcial</t>
  </si>
  <si>
    <t>Entrega de TP Evaluable 2º . Notas TP1:4  TP2:7 - Introduccion de conceptos de testing</t>
  </si>
  <si>
    <t xml:space="preserve">Clase Teorica: Meles: Final de temas de SCM con repaso de clase pasada </t>
  </si>
  <si>
    <t>1er Teorico Grupal - Pecha Cucha</t>
  </si>
  <si>
    <t>Llevar dudas de temas del 1er tp teorico</t>
  </si>
  <si>
    <t>Clase Teorica: Testing de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</si>
</sst>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d"/>
    <numFmt numFmtId="169" formatCode="[$-C0A]mmmmm;@"/>
  </numFmts>
  <fonts count="20" x14ac:knownFonts="1">
    <font>
      <sz val="11"/>
      <color theme="1"/>
      <name val="Arial"/>
      <family val="2"/>
      <scheme val="minor"/>
    </font>
    <font>
      <sz val="11"/>
      <color theme="1"/>
      <name val="Arial"/>
      <family val="2"/>
      <scheme val="minor"/>
    </font>
    <font>
      <sz val="8"/>
      <name val="Arial"/>
      <family val="2"/>
      <scheme val="minor"/>
    </font>
    <font>
      <sz val="10"/>
      <color theme="1" tint="0.249977111117893"/>
      <name val="Arial"/>
      <family val="2"/>
      <scheme val="minor"/>
    </font>
    <font>
      <sz val="12"/>
      <color theme="1" tint="0.249977111117893"/>
      <name val="Arial"/>
      <family val="2"/>
      <scheme val="minor"/>
    </font>
    <font>
      <sz val="11"/>
      <color theme="1"/>
      <name val="Arial"/>
      <family val="2"/>
      <scheme val="minor"/>
    </font>
    <font>
      <sz val="11"/>
      <color theme="0"/>
      <name val="Arial"/>
      <family val="2"/>
      <scheme val="minor"/>
    </font>
    <font>
      <b/>
      <sz val="24"/>
      <color theme="4" tint="-0.499984740745262"/>
      <name val="Arial"/>
      <family val="2"/>
      <scheme val="minor"/>
    </font>
    <font>
      <b/>
      <sz val="17"/>
      <color theme="4" tint="-0.499984740745262"/>
      <name val="Arial"/>
      <family val="2"/>
      <scheme val="minor"/>
    </font>
    <font>
      <b/>
      <sz val="12"/>
      <color theme="4" tint="-0.499984740745262"/>
      <name val="Arial"/>
      <family val="2"/>
      <scheme val="minor"/>
    </font>
    <font>
      <b/>
      <sz val="11"/>
      <color theme="4" tint="-0.499984740745262"/>
      <name val="Arial"/>
      <family val="2"/>
      <scheme val="minor"/>
    </font>
    <font>
      <b/>
      <sz val="11"/>
      <color theme="1"/>
      <name val="Arial"/>
      <family val="2"/>
      <scheme val="minor"/>
    </font>
    <font>
      <b/>
      <sz val="18"/>
      <color theme="4" tint="-0.499984740745262"/>
      <name val="Arial"/>
      <family val="2"/>
      <scheme val="major"/>
    </font>
    <font>
      <sz val="11"/>
      <name val="Arial"/>
      <family val="2"/>
      <scheme val="minor"/>
    </font>
    <font>
      <sz val="11"/>
      <color theme="1"/>
      <name val="Arial"/>
      <family val="2"/>
      <scheme val="major"/>
    </font>
    <font>
      <sz val="11"/>
      <color indexed="8"/>
      <name val="Arial"/>
      <family val="2"/>
      <scheme val="major"/>
    </font>
    <font>
      <sz val="10"/>
      <color theme="1"/>
      <name val="Arial"/>
      <family val="2"/>
      <scheme val="minor"/>
    </font>
    <font>
      <b/>
      <sz val="18"/>
      <color theme="1"/>
      <name val="Arial"/>
      <family val="2"/>
      <scheme val="major"/>
    </font>
    <font>
      <b/>
      <sz val="17"/>
      <color theme="1"/>
      <name val="Arial"/>
      <family val="2"/>
      <scheme val="minor"/>
    </font>
    <font>
      <b/>
      <sz val="24"/>
      <color theme="1"/>
      <name val="Arial"/>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CC"/>
      </patternFill>
    </fill>
    <fill>
      <patternFill patternType="solid">
        <fgColor theme="4" tint="-0.499984740745262"/>
        <bgColor indexed="64"/>
      </patternFill>
    </fill>
  </fills>
  <borders count="11">
    <border>
      <left/>
      <right/>
      <top/>
      <bottom/>
      <diagonal/>
    </border>
    <border>
      <left style="thin">
        <color theme="4" tint="0.79998168889431442"/>
      </left>
      <right style="thin">
        <color theme="0"/>
      </right>
      <top/>
      <bottom/>
      <diagonal/>
    </border>
    <border>
      <left/>
      <right style="thin">
        <color theme="4" tint="0.79998168889431442"/>
      </right>
      <top/>
      <bottom/>
      <diagonal/>
    </border>
    <border>
      <left style="thin">
        <color theme="0"/>
      </left>
      <right/>
      <top/>
      <bottom/>
      <diagonal/>
    </border>
    <border>
      <left style="thin">
        <color theme="0"/>
      </left>
      <right/>
      <top style="thin">
        <color theme="0"/>
      </top>
      <bottom/>
      <diagonal/>
    </border>
    <border>
      <left style="thin">
        <color rgb="FFB2B2B2"/>
      </left>
      <right style="thin">
        <color rgb="FFB2B2B2"/>
      </right>
      <top style="thin">
        <color rgb="FFB2B2B2"/>
      </top>
      <bottom style="thin">
        <color rgb="FFB2B2B2"/>
      </bottom>
      <diagonal/>
    </border>
    <border>
      <left/>
      <right/>
      <top style="thin">
        <color theme="4" tint="-0.499984740745262"/>
      </top>
      <bottom/>
      <diagonal/>
    </border>
    <border>
      <left/>
      <right/>
      <top/>
      <bottom style="thin">
        <color theme="4" tint="-0.499984740745262"/>
      </bottom>
      <diagonal/>
    </border>
    <border>
      <left style="thin">
        <color theme="4" tint="0.79998168889431442"/>
      </left>
      <right/>
      <top/>
      <bottom/>
      <diagonal/>
    </border>
    <border>
      <left/>
      <right style="thin">
        <color theme="4" tint="-0.499984740745262"/>
      </right>
      <top/>
      <bottom/>
      <diagonal/>
    </border>
    <border>
      <left style="thin">
        <color theme="0"/>
      </left>
      <right style="thin">
        <color theme="0"/>
      </right>
      <top/>
      <bottom/>
      <diagonal/>
    </border>
  </borders>
  <cellStyleXfs count="22">
    <xf numFmtId="0" fontId="0" fillId="0" borderId="0">
      <alignment wrapText="1"/>
    </xf>
    <xf numFmtId="0" fontId="12" fillId="0" borderId="0" applyFill="0" applyBorder="0" applyProtection="0">
      <alignment horizontal="center" vertical="center"/>
    </xf>
    <xf numFmtId="169" fontId="7" fillId="0" borderId="0" applyFill="0" applyBorder="0" applyProtection="0">
      <alignment horizontal="center" vertical="center"/>
    </xf>
    <xf numFmtId="0" fontId="8" fillId="0" borderId="0" applyFill="0" applyProtection="0">
      <alignment horizontal="left" vertical="center" indent="2"/>
    </xf>
    <xf numFmtId="0" fontId="9" fillId="0" borderId="0" applyNumberFormat="0" applyFill="0" applyBorder="0" applyProtection="0">
      <alignment horizontal="left" vertical="center"/>
    </xf>
    <xf numFmtId="0" fontId="9" fillId="0" borderId="0" applyFill="0" applyBorder="0" applyProtection="0"/>
    <xf numFmtId="167" fontId="1" fillId="0" borderId="0" applyFill="0" applyBorder="0" applyAlignment="0" applyProtection="0"/>
    <xf numFmtId="165" fontId="1" fillId="0" borderId="0" applyFill="0" applyBorder="0" applyAlignment="0" applyProtection="0"/>
    <xf numFmtId="166" fontId="1" fillId="0" borderId="0" applyFill="0" applyBorder="0" applyAlignment="0" applyProtection="0"/>
    <xf numFmtId="164" fontId="1" fillId="0" borderId="0" applyFill="0" applyBorder="0" applyAlignment="0" applyProtection="0"/>
    <xf numFmtId="9" fontId="1" fillId="0" borderId="0" applyFill="0" applyBorder="0" applyAlignment="0" applyProtection="0"/>
    <xf numFmtId="0" fontId="5" fillId="3" borderId="5" applyNumberFormat="0" applyAlignment="0" applyProtection="0"/>
    <xf numFmtId="0" fontId="6" fillId="4" borderId="1">
      <alignment horizontal="left" indent="1"/>
    </xf>
    <xf numFmtId="0" fontId="10" fillId="0" borderId="0">
      <alignment vertical="center"/>
    </xf>
    <xf numFmtId="0" fontId="10" fillId="0" borderId="6" applyNumberFormat="0" applyFont="0" applyFill="0" applyAlignment="0" applyProtection="0">
      <alignment horizontal="left" vertical="center" indent="2"/>
    </xf>
    <xf numFmtId="1" fontId="11" fillId="0" borderId="0" applyFill="0" applyBorder="0">
      <alignment horizontal="center"/>
    </xf>
    <xf numFmtId="0" fontId="13" fillId="0" borderId="7" applyNumberFormat="0" applyFont="0" applyFill="0" applyAlignment="0" applyProtection="0">
      <alignment horizontal="center"/>
    </xf>
    <xf numFmtId="0" fontId="13" fillId="0" borderId="9" applyNumberFormat="0" applyFont="0" applyFill="0" applyAlignment="0" applyProtection="0"/>
    <xf numFmtId="168" fontId="4" fillId="0" borderId="0" applyNumberFormat="0" applyFill="0" applyBorder="0">
      <alignment horizontal="left" vertical="center" indent="1"/>
    </xf>
    <xf numFmtId="0" fontId="13" fillId="2" borderId="0" applyFont="0" applyBorder="0">
      <alignment horizontal="left" vertical="top" indent="1"/>
    </xf>
    <xf numFmtId="0" fontId="6" fillId="0" borderId="0" applyNumberFormat="0" applyFill="0" applyBorder="0" applyAlignment="0">
      <alignment wrapText="1"/>
    </xf>
    <xf numFmtId="20" fontId="13" fillId="2" borderId="0" applyFill="0" applyBorder="0">
      <alignment horizontal="left" indent="1"/>
    </xf>
  </cellStyleXfs>
  <cellXfs count="79">
    <xf numFmtId="0" fontId="0" fillId="0" borderId="0" xfId="0">
      <alignment wrapText="1"/>
    </xf>
    <xf numFmtId="0" fontId="0" fillId="0" borderId="0" xfId="0" applyFont="1">
      <alignment wrapText="1"/>
    </xf>
    <xf numFmtId="0" fontId="0" fillId="0" borderId="0" xfId="0">
      <alignment wrapText="1"/>
    </xf>
    <xf numFmtId="0" fontId="6" fillId="4" borderId="9" xfId="17" applyFont="1" applyFill="1" applyAlignment="1">
      <alignment horizontal="left" indent="1"/>
    </xf>
    <xf numFmtId="0" fontId="9" fillId="0" borderId="6" xfId="14" applyFont="1" applyAlignment="1">
      <alignment vertical="center"/>
    </xf>
    <xf numFmtId="0" fontId="10" fillId="0" borderId="0" xfId="13">
      <alignment vertical="center"/>
    </xf>
    <xf numFmtId="168" fontId="4" fillId="0" borderId="0" xfId="18" applyNumberFormat="1" applyFill="1" applyBorder="1">
      <alignment horizontal="left" vertical="center" indent="1"/>
    </xf>
    <xf numFmtId="0" fontId="4" fillId="0" borderId="6" xfId="14" applyNumberFormat="1" applyFont="1" applyAlignment="1">
      <alignment horizontal="left" vertical="center" indent="1"/>
    </xf>
    <xf numFmtId="0" fontId="12" fillId="0" borderId="7" xfId="1" applyBorder="1">
      <alignment horizontal="center" vertical="center"/>
    </xf>
    <xf numFmtId="0" fontId="0" fillId="0" borderId="0" xfId="14" applyFont="1" applyBorder="1" applyAlignment="1">
      <alignment wrapText="1"/>
    </xf>
    <xf numFmtId="0" fontId="9" fillId="0" borderId="0" xfId="5"/>
    <xf numFmtId="0" fontId="8" fillId="0" borderId="0" xfId="3">
      <alignment horizontal="left" vertical="center" indent="2"/>
    </xf>
    <xf numFmtId="0" fontId="12" fillId="0" borderId="0" xfId="1">
      <alignment horizontal="center" vertical="center"/>
    </xf>
    <xf numFmtId="0" fontId="0" fillId="0" borderId="9" xfId="17" applyFont="1" applyAlignment="1">
      <alignment wrapText="1"/>
    </xf>
    <xf numFmtId="0" fontId="6" fillId="4" borderId="1" xfId="12">
      <alignment horizontal="left" indent="1"/>
    </xf>
    <xf numFmtId="0" fontId="9" fillId="0" borderId="0" xfId="5" applyFill="1"/>
    <xf numFmtId="0" fontId="9" fillId="0" borderId="0" xfId="4">
      <alignment horizontal="left" vertical="center"/>
    </xf>
    <xf numFmtId="0" fontId="0" fillId="0" borderId="0" xfId="0">
      <alignment wrapText="1"/>
    </xf>
    <xf numFmtId="0" fontId="0" fillId="0" borderId="7" xfId="16" applyFont="1" applyAlignment="1">
      <alignment wrapText="1"/>
    </xf>
    <xf numFmtId="0" fontId="6" fillId="0" borderId="0" xfId="20">
      <alignment wrapText="1"/>
    </xf>
    <xf numFmtId="0" fontId="9" fillId="0" borderId="7" xfId="5" applyBorder="1"/>
    <xf numFmtId="20" fontId="13" fillId="2" borderId="0" xfId="21">
      <alignment horizontal="left" indent="1"/>
    </xf>
    <xf numFmtId="20" fontId="13" fillId="2" borderId="3" xfId="21" applyBorder="1">
      <alignment horizontal="left" indent="1"/>
    </xf>
    <xf numFmtId="169" fontId="7" fillId="0" borderId="6" xfId="2" applyBorder="1">
      <alignment horizontal="center" vertical="center"/>
    </xf>
    <xf numFmtId="20" fontId="13" fillId="2" borderId="4" xfId="21" applyBorder="1">
      <alignment horizontal="left" indent="1"/>
    </xf>
    <xf numFmtId="0" fontId="6" fillId="4" borderId="1" xfId="12">
      <alignment horizontal="left" indent="1"/>
    </xf>
    <xf numFmtId="0" fontId="6" fillId="0" borderId="9" xfId="20" applyBorder="1" applyAlignment="1">
      <alignment wrapText="1"/>
    </xf>
    <xf numFmtId="0" fontId="0" fillId="2" borderId="0" xfId="19" applyFont="1">
      <alignment horizontal="left" vertical="top" indent="1"/>
    </xf>
    <xf numFmtId="0" fontId="0" fillId="2" borderId="7" xfId="19" applyFont="1" applyBorder="1">
      <alignment horizontal="left" vertical="top" indent="1"/>
    </xf>
    <xf numFmtId="0" fontId="1" fillId="2" borderId="7" xfId="19" applyFont="1" applyBorder="1">
      <alignment horizontal="left" vertical="top" indent="1"/>
    </xf>
    <xf numFmtId="0" fontId="1" fillId="2" borderId="0" xfId="19" applyFont="1">
      <alignment horizontal="left" vertical="top" indent="1"/>
    </xf>
    <xf numFmtId="0" fontId="13" fillId="2" borderId="7" xfId="19" applyBorder="1">
      <alignment horizontal="left" vertical="top" indent="1"/>
    </xf>
    <xf numFmtId="0" fontId="9" fillId="0" borderId="6" xfId="5" applyBorder="1"/>
    <xf numFmtId="169" fontId="7" fillId="0" borderId="0" xfId="2" applyNumberFormat="1">
      <alignment horizontal="center" vertical="center"/>
    </xf>
    <xf numFmtId="20" fontId="13" fillId="2" borderId="0" xfId="21" applyNumberFormat="1">
      <alignment horizontal="left" indent="1"/>
    </xf>
    <xf numFmtId="1" fontId="11" fillId="0" borderId="7" xfId="15" applyFill="1" applyBorder="1">
      <alignment horizontal="center"/>
    </xf>
    <xf numFmtId="1" fontId="11" fillId="0" borderId="0" xfId="15" applyFill="1">
      <alignment horizontal="center"/>
    </xf>
    <xf numFmtId="1" fontId="11" fillId="0" borderId="6" xfId="15" applyFill="1" applyBorder="1">
      <alignment horizontal="center"/>
    </xf>
    <xf numFmtId="0" fontId="9" fillId="0" borderId="7" xfId="5" applyFill="1" applyBorder="1"/>
    <xf numFmtId="168" fontId="4" fillId="0" borderId="7" xfId="18" applyNumberFormat="1" applyFill="1" applyBorder="1">
      <alignment horizontal="left" vertical="center" indent="1"/>
    </xf>
    <xf numFmtId="0" fontId="1" fillId="2" borderId="7" xfId="19" applyFont="1" applyBorder="1">
      <alignment horizontal="left" vertical="top" indent="1"/>
    </xf>
    <xf numFmtId="20" fontId="13" fillId="2" borderId="0" xfId="21" applyNumberFormat="1">
      <alignment horizontal="left" indent="1"/>
    </xf>
    <xf numFmtId="1" fontId="11" fillId="0" borderId="0" xfId="15" applyFill="1" applyBorder="1">
      <alignment horizontal="center"/>
    </xf>
    <xf numFmtId="0" fontId="1" fillId="2" borderId="0" xfId="19" applyFont="1" applyBorder="1">
      <alignment horizontal="left" vertical="top" indent="1"/>
    </xf>
    <xf numFmtId="20" fontId="13" fillId="2" borderId="0" xfId="21" applyNumberFormat="1" applyBorder="1">
      <alignment horizontal="left" indent="1"/>
    </xf>
    <xf numFmtId="0" fontId="9" fillId="0" borderId="0" xfId="5" applyBorder="1"/>
    <xf numFmtId="0" fontId="14" fillId="2" borderId="0" xfId="19" applyFont="1" applyBorder="1">
      <alignment horizontal="left" vertical="top" indent="1"/>
    </xf>
    <xf numFmtId="0" fontId="15" fillId="2" borderId="0" xfId="19" applyFont="1">
      <alignment horizontal="left" vertical="top" indent="1"/>
    </xf>
    <xf numFmtId="0" fontId="0" fillId="0" borderId="0" xfId="0" applyFont="1" applyBorder="1" applyAlignment="1">
      <alignment wrapText="1"/>
    </xf>
    <xf numFmtId="0" fontId="0" fillId="0" borderId="0" xfId="0" applyAlignment="1">
      <alignment wrapText="1"/>
    </xf>
    <xf numFmtId="0" fontId="3" fillId="0" borderId="7" xfId="16" applyFont="1" applyAlignment="1">
      <alignment wrapText="1"/>
    </xf>
    <xf numFmtId="168" fontId="4" fillId="0" borderId="0" xfId="0" applyNumberFormat="1" applyFont="1" applyFill="1" applyAlignment="1">
      <alignment wrapText="1"/>
    </xf>
    <xf numFmtId="20" fontId="13" fillId="0" borderId="7" xfId="16" applyNumberFormat="1" applyFill="1" applyAlignment="1"/>
    <xf numFmtId="0" fontId="0" fillId="0" borderId="6" xfId="14" applyFont="1" applyAlignment="1">
      <alignment wrapText="1"/>
    </xf>
    <xf numFmtId="0" fontId="1" fillId="2" borderId="0" xfId="19" applyFont="1">
      <alignment horizontal="left" vertical="top" indent="1"/>
    </xf>
    <xf numFmtId="0" fontId="1" fillId="2" borderId="7" xfId="19" applyFont="1" applyBorder="1">
      <alignment horizontal="left" vertical="top" indent="1"/>
    </xf>
    <xf numFmtId="20" fontId="13" fillId="2" borderId="0" xfId="21">
      <alignment horizontal="left" indent="1"/>
    </xf>
    <xf numFmtId="0" fontId="0" fillId="0" borderId="6" xfId="0" applyBorder="1" applyAlignment="1">
      <alignment wrapText="1"/>
    </xf>
    <xf numFmtId="0" fontId="0" fillId="0" borderId="0" xfId="0" applyBorder="1" applyAlignment="1">
      <alignment wrapText="1"/>
    </xf>
    <xf numFmtId="0" fontId="16" fillId="0" borderId="0" xfId="0" applyFont="1">
      <alignment wrapText="1"/>
    </xf>
    <xf numFmtId="0" fontId="17" fillId="0" borderId="0" xfId="1" applyFont="1">
      <alignment horizontal="center" vertical="center"/>
    </xf>
    <xf numFmtId="0" fontId="1" fillId="0" borderId="0" xfId="0" applyFont="1">
      <alignment wrapText="1"/>
    </xf>
    <xf numFmtId="0" fontId="1" fillId="0" borderId="0" xfId="20" applyFont="1">
      <alignment wrapText="1"/>
    </xf>
    <xf numFmtId="0" fontId="18" fillId="0" borderId="0" xfId="3" applyFont="1">
      <alignment horizontal="left" vertical="center" indent="2"/>
    </xf>
    <xf numFmtId="169" fontId="19" fillId="0" borderId="6" xfId="2" applyFont="1" applyBorder="1">
      <alignment horizontal="center" vertical="center"/>
    </xf>
    <xf numFmtId="0" fontId="6" fillId="4" borderId="8" xfId="12" applyBorder="1">
      <alignment horizontal="left" indent="1"/>
    </xf>
    <xf numFmtId="0" fontId="6" fillId="4" borderId="2" xfId="12" applyBorder="1">
      <alignment horizontal="left" indent="1"/>
    </xf>
    <xf numFmtId="0" fontId="1" fillId="2" borderId="0" xfId="19" applyFont="1">
      <alignment horizontal="left" vertical="top" indent="1"/>
    </xf>
    <xf numFmtId="20" fontId="13" fillId="2" borderId="10" xfId="21" applyNumberFormat="1" applyBorder="1">
      <alignment horizontal="left" indent="1"/>
    </xf>
    <xf numFmtId="0" fontId="1" fillId="2" borderId="7" xfId="19" applyFont="1" applyBorder="1">
      <alignment horizontal="left" vertical="top" indent="1"/>
    </xf>
    <xf numFmtId="20" fontId="13" fillId="2" borderId="0" xfId="21" applyNumberFormat="1">
      <alignment horizontal="left" indent="1"/>
    </xf>
    <xf numFmtId="20" fontId="13" fillId="2" borderId="3" xfId="21" applyNumberFormat="1" applyBorder="1">
      <alignment horizontal="left" indent="1"/>
    </xf>
    <xf numFmtId="20" fontId="13" fillId="2" borderId="10" xfId="21" applyBorder="1">
      <alignment horizontal="left" indent="1"/>
    </xf>
    <xf numFmtId="20" fontId="13" fillId="2" borderId="0" xfId="21">
      <alignment horizontal="left" indent="1"/>
    </xf>
    <xf numFmtId="0" fontId="13" fillId="2" borderId="7" xfId="19" applyBorder="1">
      <alignment horizontal="left" vertical="top" indent="1"/>
    </xf>
    <xf numFmtId="20" fontId="1" fillId="2" borderId="0" xfId="19" applyNumberFormat="1" applyFont="1">
      <alignment horizontal="left" vertical="top" indent="1"/>
    </xf>
    <xf numFmtId="0" fontId="0" fillId="2" borderId="0" xfId="19" applyFont="1">
      <alignment horizontal="left" vertical="top" indent="1"/>
    </xf>
    <xf numFmtId="1" fontId="11" fillId="0" borderId="0" xfId="15">
      <alignment horizontal="center"/>
    </xf>
    <xf numFmtId="0" fontId="0" fillId="0" borderId="0" xfId="0" applyFont="1" applyAlignment="1">
      <alignment wrapText="1"/>
    </xf>
  </cellXfs>
  <cellStyles count="22">
    <cellStyle name="Alineación del calendario" xfId="18" xr:uid="{00000000-0005-0000-0000-000000000000}"/>
    <cellStyle name="Borde derecho" xfId="17" xr:uid="{00000000-0005-0000-0000-000001000000}"/>
    <cellStyle name="Borde inferior" xfId="16" xr:uid="{00000000-0005-0000-0000-000002000000}"/>
    <cellStyle name="Borde superior" xfId="14" xr:uid="{00000000-0005-0000-0000-000003000000}"/>
    <cellStyle name="Días de la semana" xfId="12" xr:uid="{00000000-0005-0000-0000-000004000000}"/>
    <cellStyle name="Encabezado 1" xfId="2" builtinId="16" customBuiltin="1"/>
    <cellStyle name="Encabezado 4" xfId="5" builtinId="19" customBuiltin="1"/>
    <cellStyle name="Encabezado de la tabla en blanco" xfId="20" xr:uid="{00000000-0005-0000-0000-000007000000}"/>
    <cellStyle name="Etiqueta" xfId="13" xr:uid="{00000000-0005-0000-0000-000008000000}"/>
    <cellStyle name="Fecha" xfId="15" xr:uid="{00000000-0005-0000-0000-000009000000}"/>
    <cellStyle name="Hora" xfId="21" xr:uid="{00000000-0005-0000-0000-00000A000000}"/>
    <cellStyle name="Millares" xfId="6" builtinId="3" customBuiltin="1"/>
    <cellStyle name="Millares [0]" xfId="7" builtinId="6" customBuiltin="1"/>
    <cellStyle name="Moneda" xfId="8" builtinId="4" customBuiltin="1"/>
    <cellStyle name="Moneda [0]" xfId="9" builtinId="7" customBuiltin="1"/>
    <cellStyle name="Normal" xfId="0" builtinId="0" customBuiltin="1"/>
    <cellStyle name="Notas" xfId="11" builtinId="10" customBuiltin="1"/>
    <cellStyle name="Porcentaje" xfId="10" builtinId="5" customBuiltin="1"/>
    <cellStyle name="Relleno de programación semanal" xfId="19" xr:uid="{00000000-0005-0000-0000-000012000000}"/>
    <cellStyle name="Título" xfId="1" builtinId="15" customBuiltin="1"/>
    <cellStyle name="Título 2" xfId="3" builtinId="17" customBuiltin="1"/>
    <cellStyle name="Título 3" xfId="4" builtinId="18" customBuiltin="1"/>
  </cellStyles>
  <dxfs count="106">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left style="thin">
          <color theme="0"/>
        </left>
        <vertical/>
        <horizontal/>
      </border>
    </dxf>
    <dxf>
      <border>
        <left style="thin">
          <color theme="0"/>
        </left>
        <bottom style="thin">
          <color theme="0"/>
        </bottom>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ill>
        <patternFill>
          <bgColor theme="4" tint="0.79998168889431442"/>
        </patternFill>
      </fill>
    </dxf>
    <dxf>
      <font>
        <b/>
        <i val="0"/>
      </font>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border>
        <left style="thin">
          <color theme="0"/>
        </left>
        <vertical/>
        <horizontal/>
      </border>
    </dxf>
    <dxf>
      <border>
        <bottom style="thin">
          <color theme="0"/>
        </bottom>
        <vertical/>
        <horizontal/>
      </border>
    </dxf>
    <dxf>
      <font>
        <b val="0"/>
        <i val="0"/>
      </font>
      <fill>
        <patternFill>
          <bgColor theme="4" tint="0.79998168889431442"/>
        </patternFill>
      </fill>
      <border>
        <vertical/>
        <horizontal/>
      </border>
    </dxf>
    <dxf>
      <font>
        <b/>
        <i val="0"/>
      </font>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color theme="1"/>
        <name val="Arial"/>
        <family val="2"/>
      </font>
    </dxf>
    <dxf>
      <alignment horizontal="general" vertical="bottom" textRotation="0" indent="0" justifyLastLine="0" shrinkToFit="0" readingOrder="0"/>
    </dxf>
    <dxf>
      <font>
        <strike val="0"/>
        <outline val="0"/>
        <shadow val="0"/>
        <u val="none"/>
        <vertAlign val="baseline"/>
        <color theme="1"/>
        <name val="Arial"/>
        <family val="2"/>
      </font>
    </dxf>
    <dxf>
      <alignment horizontal="general" vertical="bottom" textRotation="0" wrapText="1" indent="0" justifyLastLine="0" shrinkToFit="0" readingOrder="0"/>
    </dxf>
    <dxf>
      <font>
        <strike val="0"/>
        <outline val="0"/>
        <shadow val="0"/>
        <u val="none"/>
        <vertAlign val="baseline"/>
        <color theme="1"/>
        <name val="Arial"/>
        <family val="2"/>
      </font>
    </dxf>
    <dxf>
      <alignment horizontal="general" vertical="bottom" textRotation="0" wrapText="1" indent="0" justifyLastLine="0" shrinkToFit="0" readingOrder="0"/>
    </dxf>
    <dxf>
      <font>
        <strike val="0"/>
        <outline val="0"/>
        <shadow val="0"/>
        <u val="none"/>
        <vertAlign val="baseline"/>
        <color theme="1"/>
        <name val="Arial"/>
        <family val="2"/>
      </font>
    </dxf>
    <dxf>
      <alignment horizontal="general" vertical="bottom" textRotation="0" wrapText="1" indent="0" justifyLastLine="0" shrinkToFit="0" readingOrder="0"/>
    </dxf>
    <dxf>
      <font>
        <strike val="0"/>
        <outline val="0"/>
        <shadow val="0"/>
        <u val="none"/>
        <vertAlign val="baseline"/>
        <color theme="1"/>
        <name val="Arial"/>
        <family val="2"/>
      </font>
    </dxf>
    <dxf>
      <alignment horizontal="general" vertical="bottom" textRotation="0" wrapText="1" indent="0" justifyLastLine="0" shrinkToFit="0" readingOrder="0"/>
    </dxf>
    <dxf>
      <alignment horizontal="general" vertical="bottom" textRotation="0" wrapText="1" indent="0" justifyLastLine="0" shrinkToFit="0" readingOrder="0"/>
    </dxf>
    <dxf>
      <font>
        <b/>
        <i val="0"/>
        <color theme="4" tint="-0.499984740745262"/>
      </font>
      <border diagonalUp="0" diagonalDown="0">
        <left style="thin">
          <color theme="4" tint="-0.499984740745262"/>
        </left>
        <right/>
        <top/>
        <bottom style="thin">
          <color theme="4" tint="-0.499984740745262"/>
        </bottom>
        <vertical/>
        <horizontal/>
      </border>
    </dxf>
    <dxf>
      <font>
        <b/>
        <i val="0"/>
        <color theme="4" tint="-0.499984740745262"/>
      </font>
      <border diagonalUp="0" diagonalDown="0">
        <left/>
        <right/>
        <top/>
        <bottom style="thin">
          <color theme="4" tint="-0.499984740745262"/>
        </bottom>
        <vertical/>
        <horizontal/>
      </border>
    </dxf>
    <dxf>
      <border>
        <left style="thin">
          <color theme="4" tint="-0.499984740745262"/>
        </left>
        <right style="thin">
          <color theme="4" tint="-0.499984740745262"/>
        </right>
        <top style="thin">
          <color theme="4" tint="-0.499984740745262"/>
        </top>
        <bottom style="thin">
          <color theme="4" tint="-0.499984740745262"/>
        </bottom>
        <horizontal style="thin">
          <color theme="5" tint="-0.499984740745262"/>
        </horizontal>
      </border>
    </dxf>
  </dxfs>
  <tableStyles count="1" defaultTableStyle="Tareas" defaultPivotStyle="PivotStyleLight16">
    <tableStyle name="Tareas" pivot="0" count="3" xr9:uid="{00000000-0011-0000-FFFF-FFFF00000000}">
      <tableStyleElement type="wholeTable" dxfId="105"/>
      <tableStyleElement type="headerRow" dxfId="104"/>
      <tableStyleElement type="firstColumn" dxfId="1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eroTareas" displayName="EneroTareas" ref="J1:L31" totalsRowShown="0">
  <autoFilter ref="J1:L31" xr:uid="{00000000-0009-0000-0100-000001000000}">
    <filterColumn colId="0" hiddenButton="1"/>
    <filterColumn colId="1" hiddenButton="1"/>
    <filterColumn colId="2" hiddenButton="1"/>
  </autoFilter>
  <tableColumns count="3">
    <tableColumn id="1" xr3:uid="{00000000-0010-0000-0000-000001000000}" name="Día de la semana" dataCellStyle="Encabezado 4"/>
    <tableColumn id="2" xr3:uid="{00000000-0010-0000-0000-000002000000}" name="día de calendario" dataCellStyle="Fecha"/>
    <tableColumn id="3" xr3:uid="{00000000-0010-0000-0000-000003000000}" name="TAREAS" dataDxfId="102"/>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OctubreTareas" displayName="OctubreTareas" ref="J1:L31" totalsRowShown="0">
  <autoFilter ref="J1:L31" xr:uid="{00000000-0009-0000-0100-00000A000000}">
    <filterColumn colId="0" hiddenButton="1"/>
    <filterColumn colId="1" hiddenButton="1"/>
    <filterColumn colId="2" hiddenButton="1"/>
  </autoFilter>
  <tableColumns count="3">
    <tableColumn id="1" xr3:uid="{00000000-0010-0000-0900-000001000000}" name="Día de la semana" dataCellStyle="Encabezado 4"/>
    <tableColumn id="2" xr3:uid="{00000000-0010-0000-0900-000002000000}" name="día de calendario" dataCellStyle="Fecha"/>
    <tableColumn id="3" xr3:uid="{00000000-0010-0000-0900-000003000000}" name="TAREAS" dataDxfId="88"/>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NoviembreTareas" displayName="NoviembreTareas" ref="J1:L31" totalsRowShown="0">
  <autoFilter ref="J1:L31" xr:uid="{00000000-0009-0000-0100-00000B000000}">
    <filterColumn colId="0" hiddenButton="1"/>
    <filterColumn colId="1" hiddenButton="1"/>
    <filterColumn colId="2" hiddenButton="1"/>
  </autoFilter>
  <tableColumns count="3">
    <tableColumn id="1" xr3:uid="{00000000-0010-0000-0A00-000001000000}" name="Día de la semana" dataCellStyle="Encabezado 4"/>
    <tableColumn id="2" xr3:uid="{00000000-0010-0000-0A00-000002000000}" name="día de calendario" dataCellStyle="Fecha"/>
    <tableColumn id="3" xr3:uid="{00000000-0010-0000-0A00-000003000000}" name="TAREAS" dataDxfId="87"/>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iciembreTareas" displayName="DiciembreTareas" ref="J1:L31" totalsRowShown="0" dataCellStyle="Normal">
  <autoFilter ref="J1:L31" xr:uid="{00000000-0009-0000-0100-00000C000000}">
    <filterColumn colId="0" hiddenButton="1"/>
    <filterColumn colId="1" hiddenButton="1"/>
    <filterColumn colId="2" hiddenButton="1"/>
  </autoFilter>
  <tableColumns count="3">
    <tableColumn id="1" xr3:uid="{00000000-0010-0000-0B00-000001000000}" name="Día de la semana" dataCellStyle="Encabezado 4"/>
    <tableColumn id="2" xr3:uid="{00000000-0010-0000-0B00-000002000000}" name="día de calendario" dataCellStyle="Fecha"/>
    <tableColumn id="3" xr3:uid="{00000000-0010-0000-0B00-000003000000}" name="TAREAS" dataDxfId="86" dataCellStyle="Normal"/>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ebreroTareas" displayName="FebreroTareas" ref="J1:L31" totalsRowShown="0">
  <autoFilter ref="J1:L31" xr:uid="{00000000-0009-0000-0100-000002000000}">
    <filterColumn colId="0" hiddenButton="1"/>
    <filterColumn colId="1" hiddenButton="1"/>
    <filterColumn colId="2" hiddenButton="1"/>
  </autoFilter>
  <tableColumns count="3">
    <tableColumn id="1" xr3:uid="{00000000-0010-0000-0100-000001000000}" name="Día de la semana" dataCellStyle="Encabezado 4"/>
    <tableColumn id="2" xr3:uid="{00000000-0010-0000-0100-000002000000}" name="día de calendario" dataCellStyle="Fecha"/>
    <tableColumn id="3" xr3:uid="{00000000-0010-0000-0100-000003000000}" name="TAREAS" dataDxfId="101" dataCellStyle="Normal"/>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MarzoTareas" displayName="MarzoTareas" ref="J1:L31" totalsRowShown="0" headerRowDxfId="100">
  <autoFilter ref="J1:L31" xr:uid="{00000000-0009-0000-0100-000003000000}">
    <filterColumn colId="0" hiddenButton="1"/>
    <filterColumn colId="1" hiddenButton="1"/>
    <filterColumn colId="2" hiddenButton="1"/>
  </autoFilter>
  <tableColumns count="3">
    <tableColumn id="1" xr3:uid="{00000000-0010-0000-0200-000001000000}" name="Día de la semana" dataCellStyle="Encabezado 4"/>
    <tableColumn id="2" xr3:uid="{00000000-0010-0000-0200-000002000000}" name="día de calendario" dataCellStyle="Fecha"/>
    <tableColumn id="3" xr3:uid="{00000000-0010-0000-0200-000003000000}" name="TAREAS - Comentarios" dataDxfId="99"/>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AbrilTareas" displayName="AbrilTareas" ref="J1:L31" totalsRowShown="0" headerRowDxfId="98">
  <autoFilter ref="J1:L31" xr:uid="{00000000-0009-0000-0100-000004000000}">
    <filterColumn colId="0" hiddenButton="1"/>
    <filterColumn colId="1" hiddenButton="1"/>
    <filterColumn colId="2" hiddenButton="1"/>
  </autoFilter>
  <tableColumns count="3">
    <tableColumn id="1" xr3:uid="{00000000-0010-0000-0300-000001000000}" name="Día de la semana" dataCellStyle="Encabezado 4"/>
    <tableColumn id="2" xr3:uid="{00000000-0010-0000-0300-000002000000}" name="día de calendario" dataCellStyle="Fecha"/>
    <tableColumn id="3" xr3:uid="{00000000-0010-0000-0300-000003000000}" name="TAREAS - Comentarios" dataDxfId="97"/>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MayoTareas" displayName="MayoTareas" ref="J1:L31" totalsRowShown="0" headerRowDxfId="96">
  <autoFilter ref="J1:L31" xr:uid="{00000000-0009-0000-0100-000005000000}">
    <filterColumn colId="0" hiddenButton="1"/>
    <filterColumn colId="1" hiddenButton="1"/>
    <filterColumn colId="2" hiddenButton="1"/>
  </autoFilter>
  <tableColumns count="3">
    <tableColumn id="1" xr3:uid="{00000000-0010-0000-0400-000001000000}" name="Día de la semana" dataCellStyle="Encabezado 4"/>
    <tableColumn id="2" xr3:uid="{00000000-0010-0000-0400-000002000000}" name="día de calendario" dataCellStyle="Fecha"/>
    <tableColumn id="3" xr3:uid="{00000000-0010-0000-0400-000003000000}" name="TAREAS - Comentarios" dataDxfId="95"/>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JunioTareas" displayName="JunioTareas" ref="J1:L31" totalsRowShown="0" headerRowDxfId="94">
  <autoFilter ref="J1:L31" xr:uid="{00000000-0009-0000-0100-000006000000}">
    <filterColumn colId="0" hiddenButton="1"/>
    <filterColumn colId="1" hiddenButton="1"/>
    <filterColumn colId="2" hiddenButton="1"/>
  </autoFilter>
  <tableColumns count="3">
    <tableColumn id="1" xr3:uid="{00000000-0010-0000-0500-000001000000}" name="Día de la semana" dataCellStyle="Encabezado 4"/>
    <tableColumn id="2" xr3:uid="{00000000-0010-0000-0500-000002000000}" name="día de calendario" dataCellStyle="Fecha"/>
    <tableColumn id="3" xr3:uid="{00000000-0010-0000-0500-000003000000}" name="TAREAS - Comentarios" dataDxfId="93"/>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JulioTareas" displayName="JulioTareas" ref="J1:L31" totalsRowShown="0" headerRowDxfId="92">
  <autoFilter ref="J1:L31" xr:uid="{00000000-0009-0000-0100-000007000000}">
    <filterColumn colId="0" hiddenButton="1"/>
    <filterColumn colId="1" hiddenButton="1"/>
    <filterColumn colId="2" hiddenButton="1"/>
  </autoFilter>
  <tableColumns count="3">
    <tableColumn id="1" xr3:uid="{00000000-0010-0000-0600-000001000000}" name="Día de la semana" dataCellStyle="Encabezado 4"/>
    <tableColumn id="2" xr3:uid="{00000000-0010-0000-0600-000002000000}" name="día de calendario" dataCellStyle="Fecha"/>
    <tableColumn id="3" xr3:uid="{00000000-0010-0000-0600-000003000000}" name="TAREAS - Comentarios" dataDxfId="91"/>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gostoTareas" displayName="AgostoTareas" ref="J1:L31" totalsRowShown="0">
  <autoFilter ref="J1:L31" xr:uid="{00000000-0009-0000-0100-000008000000}">
    <filterColumn colId="0" hiddenButton="1"/>
    <filterColumn colId="1" hiddenButton="1"/>
    <filterColumn colId="2" hiddenButton="1"/>
  </autoFilter>
  <tableColumns count="3">
    <tableColumn id="1" xr3:uid="{00000000-0010-0000-0700-000001000000}" name="Día de la semana" dataCellStyle="Encabezado 4"/>
    <tableColumn id="2" xr3:uid="{00000000-0010-0000-0700-000002000000}" name="día de calendario" dataCellStyle="Fecha"/>
    <tableColumn id="3" xr3:uid="{00000000-0010-0000-0700-000003000000}" name="TAREAS" dataDxfId="90"/>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SeptiembreTareas" displayName="SeptiembreTareas" ref="J1:L31" totalsRowShown="0">
  <autoFilter ref="J1:L31" xr:uid="{00000000-0009-0000-0100-000009000000}">
    <filterColumn colId="0" hiddenButton="1"/>
    <filterColumn colId="1" hiddenButton="1"/>
    <filterColumn colId="2" hiddenButton="1"/>
  </autoFilter>
  <tableColumns count="3">
    <tableColumn id="1" xr3:uid="{00000000-0010-0000-0800-000001000000}" name="Día de la semana" dataCellStyle="Encabezado 4"/>
    <tableColumn id="2" xr3:uid="{00000000-0010-0000-0800-000002000000}" name="día de calendario" dataCellStyle="Fecha"/>
    <tableColumn id="3" xr3:uid="{00000000-0010-0000-0800-000003000000}" name="TAREAS" dataDxfId="89"/>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heme/theme1.xml><?xml version="1.0" encoding="utf-8"?>
<a:theme xmlns:a="http://schemas.openxmlformats.org/drawingml/2006/main" name="10_college_cal">
  <a:themeElements>
    <a:clrScheme name="Assignment Calendar">
      <a:dk1>
        <a:sysClr val="windowText" lastClr="000000"/>
      </a:dk1>
      <a:lt1>
        <a:sysClr val="window" lastClr="FFFFFF"/>
      </a:lt1>
      <a:dk2>
        <a:srgbClr val="1F497D"/>
      </a:dk2>
      <a:lt2>
        <a:srgbClr val="EEECE1"/>
      </a:lt2>
      <a:accent1>
        <a:srgbClr val="39B5D4"/>
      </a:accent1>
      <a:accent2>
        <a:srgbClr val="FFCCCC"/>
      </a:accent2>
      <a:accent3>
        <a:srgbClr val="4DBB68"/>
      </a:accent3>
      <a:accent4>
        <a:srgbClr val="FFFB59"/>
      </a:accent4>
      <a:accent5>
        <a:srgbClr val="FF9900"/>
      </a:accent5>
      <a:accent6>
        <a:srgbClr val="AC75D5"/>
      </a:accent6>
      <a:hlink>
        <a:srgbClr val="57B5D4"/>
      </a:hlink>
      <a:folHlink>
        <a:srgbClr val="BA4F8B"/>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L31"/>
  <sheetViews>
    <sheetView showGridLines="0" zoomScaleNormal="100" zoomScalePageLayoutView="84" workbookViewId="0">
      <selection activeCell="C9" sqref="C9"/>
    </sheetView>
  </sheetViews>
  <sheetFormatPr baseColWidth="10" defaultColWidth="8.625" defaultRowHeight="30" customHeight="1" x14ac:dyDescent="0.2"/>
  <cols>
    <col min="1" max="1" width="2.625" customWidth="1"/>
    <col min="2" max="2" width="20.625" customWidth="1"/>
    <col min="3" max="8" width="10.625" customWidth="1"/>
    <col min="9" max="9" width="20.625" customWidth="1"/>
    <col min="10" max="11" width="10.625" customWidth="1"/>
    <col min="12" max="12" width="70.625" customWidth="1"/>
    <col min="13" max="13" width="2.625" customWidth="1"/>
    <col min="14" max="14" width="8.625" customWidth="1"/>
  </cols>
  <sheetData>
    <row r="1" spans="1:12" ht="30" customHeight="1" x14ac:dyDescent="0.2">
      <c r="A1" s="17"/>
      <c r="B1" s="8">
        <f ca="1">YEAR(TODAY())</f>
        <v>2018</v>
      </c>
      <c r="C1" s="5" t="s">
        <v>10</v>
      </c>
      <c r="D1" s="1"/>
      <c r="E1" s="1"/>
      <c r="F1" s="1"/>
      <c r="G1" s="1"/>
      <c r="H1" s="1"/>
      <c r="I1" s="1"/>
      <c r="J1" s="19" t="s">
        <v>0</v>
      </c>
      <c r="K1" s="19" t="s">
        <v>14</v>
      </c>
      <c r="L1" s="11" t="s">
        <v>15</v>
      </c>
    </row>
    <row r="2" spans="1:12" ht="30" customHeight="1" x14ac:dyDescent="0.25">
      <c r="A2" s="13"/>
      <c r="B2" s="33" t="s">
        <v>3</v>
      </c>
      <c r="C2" s="7" t="s">
        <v>29</v>
      </c>
      <c r="D2" s="7" t="s">
        <v>30</v>
      </c>
      <c r="E2" s="7" t="s">
        <v>31</v>
      </c>
      <c r="F2" s="7" t="s">
        <v>32</v>
      </c>
      <c r="G2" s="7" t="s">
        <v>33</v>
      </c>
      <c r="H2" s="7" t="s">
        <v>34</v>
      </c>
      <c r="I2" s="7" t="s">
        <v>35</v>
      </c>
      <c r="J2" s="10" t="s">
        <v>29</v>
      </c>
      <c r="K2" s="42">
        <v>2</v>
      </c>
      <c r="L2" s="48" t="s">
        <v>16</v>
      </c>
    </row>
    <row r="3" spans="1:12" ht="30" customHeight="1" x14ac:dyDescent="0.25">
      <c r="A3" s="13"/>
      <c r="B3" s="17"/>
      <c r="C3" s="6">
        <f ca="1">IF(DAY(JanDom1)=1,JanDom1-6,JanDom1+1)</f>
        <v>43101</v>
      </c>
      <c r="D3" s="6">
        <f ca="1">IF(DAY(JanDom1)=1,JanDom1-5,JanDom1+2)</f>
        <v>43102</v>
      </c>
      <c r="E3" s="6">
        <f ca="1">IF(DAY(JanDom1)=1,JanDom1-4,JanDom1+3)</f>
        <v>43103</v>
      </c>
      <c r="F3" s="6">
        <f ca="1">IF(DAY(JanDom1)=1,JanDom1-3,JanDom1+4)</f>
        <v>43104</v>
      </c>
      <c r="G3" s="6">
        <f ca="1">IF(DAY(JanDom1)=1,JanDom1-2,JanDom1+5)</f>
        <v>43105</v>
      </c>
      <c r="H3" s="6">
        <f ca="1">IF(DAY(JanDom1)=1,JanDom1-1,JanDom1+6)</f>
        <v>43106</v>
      </c>
      <c r="I3" s="6">
        <f ca="1">IF(DAY(JanDom1)=1,JanDom1,JanDom1+7)</f>
        <v>43107</v>
      </c>
      <c r="J3" s="10"/>
      <c r="K3" s="36"/>
      <c r="L3" s="48"/>
    </row>
    <row r="4" spans="1:12" ht="30" customHeight="1" x14ac:dyDescent="0.25">
      <c r="A4" s="13"/>
      <c r="B4" s="17"/>
      <c r="C4" s="6">
        <f ca="1">IF(DAY(JanDom1)=1,JanDom1+1,JanDom1+8)</f>
        <v>43108</v>
      </c>
      <c r="D4" s="6">
        <f ca="1">IF(DAY(JanDom1)=1,JanDom1+2,JanDom1+9)</f>
        <v>43109</v>
      </c>
      <c r="E4" s="6">
        <f ca="1">IF(DAY(JanDom1)=1,JanDom1+3,JanDom1+10)</f>
        <v>43110</v>
      </c>
      <c r="F4" s="6">
        <f ca="1">IF(DAY(JanDom1)=1,JanDom1+4,JanDom1+11)</f>
        <v>43111</v>
      </c>
      <c r="G4" s="6">
        <f ca="1">IF(DAY(JanDom1)=1,JanDom1+5,JanDom1+12)</f>
        <v>43112</v>
      </c>
      <c r="H4" s="6">
        <f ca="1">IF(DAY(JanDom1)=1,JanDom1+6,JanDom1+13)</f>
        <v>43113</v>
      </c>
      <c r="I4" s="6">
        <f ca="1">IF(DAY(JanDom1)=1,JanDom1+7,JanDom1+14)</f>
        <v>43114</v>
      </c>
      <c r="J4" s="10"/>
      <c r="K4" s="36"/>
      <c r="L4" s="48"/>
    </row>
    <row r="5" spans="1:12" ht="30" customHeight="1" x14ac:dyDescent="0.25">
      <c r="A5" s="13"/>
      <c r="B5" s="17"/>
      <c r="C5" s="6">
        <f ca="1">IF(DAY(JanDom1)=1,JanDom1+8,JanDom1+15)</f>
        <v>43115</v>
      </c>
      <c r="D5" s="6">
        <f ca="1">IF(DAY(JanDom1)=1,JanDom1+9,JanDom1+16)</f>
        <v>43116</v>
      </c>
      <c r="E5" s="6">
        <f ca="1">IF(DAY(JanDom1)=1,JanDom1+10,JanDom1+17)</f>
        <v>43117</v>
      </c>
      <c r="F5" s="6">
        <f ca="1">IF(DAY(JanDom1)=1,JanDom1+11,JanDom1+18)</f>
        <v>43118</v>
      </c>
      <c r="G5" s="6">
        <f ca="1">IF(DAY(JanDom1)=1,JanDom1+12,JanDom1+19)</f>
        <v>43119</v>
      </c>
      <c r="H5" s="6">
        <f ca="1">IF(DAY(JanDom1)=1,JanDom1+13,JanDom1+20)</f>
        <v>43120</v>
      </c>
      <c r="I5" s="6">
        <f ca="1">IF(DAY(JanDom1)=1,JanDom1+14,JanDom1+21)</f>
        <v>43121</v>
      </c>
      <c r="J5" s="10"/>
      <c r="K5" s="36"/>
      <c r="L5" s="48"/>
    </row>
    <row r="6" spans="1:12" ht="30" customHeight="1" x14ac:dyDescent="0.25">
      <c r="A6" s="13"/>
      <c r="B6" s="17"/>
      <c r="C6" s="6">
        <f ca="1">IF(DAY(JanDom1)=1,JanDom1+15,JanDom1+22)</f>
        <v>43122</v>
      </c>
      <c r="D6" s="6">
        <f ca="1">IF(DAY(JanDom1)=1,JanDom1+16,JanDom1+23)</f>
        <v>43123</v>
      </c>
      <c r="E6" s="6">
        <f ca="1">IF(DAY(JanDom1)=1,JanDom1+17,JanDom1+24)</f>
        <v>43124</v>
      </c>
      <c r="F6" s="6">
        <f ca="1">IF(DAY(JanDom1)=1,JanDom1+18,JanDom1+25)</f>
        <v>43125</v>
      </c>
      <c r="G6" s="6">
        <f ca="1">IF(DAY(JanDom1)=1,JanDom1+19,JanDom1+26)</f>
        <v>43126</v>
      </c>
      <c r="H6" s="6">
        <f ca="1">IF(DAY(JanDom1)=1,JanDom1+20,JanDom1+27)</f>
        <v>43127</v>
      </c>
      <c r="I6" s="6">
        <f ca="1">IF(DAY(JanDom1)=1,JanDom1+21,JanDom1+28)</f>
        <v>43128</v>
      </c>
      <c r="J6" s="10"/>
      <c r="K6" s="36"/>
      <c r="L6" s="48"/>
    </row>
    <row r="7" spans="1:12" ht="30" customHeight="1" x14ac:dyDescent="0.25">
      <c r="A7" s="13"/>
      <c r="B7" s="17"/>
      <c r="C7" s="6">
        <f ca="1">IF(DAY(JanDom1)=1,JanDom1+22,JanDom1+29)</f>
        <v>43129</v>
      </c>
      <c r="D7" s="6">
        <f ca="1">IF(DAY(JanDom1)=1,JanDom1+23,JanDom1+30)</f>
        <v>43130</v>
      </c>
      <c r="E7" s="6">
        <f ca="1">IF(DAY(JanDom1)=1,JanDom1+24,JanDom1+31)</f>
        <v>43131</v>
      </c>
      <c r="F7" s="6">
        <f ca="1">IF(DAY(JanDom1)=1,JanDom1+25,JanDom1+32)</f>
        <v>43132</v>
      </c>
      <c r="G7" s="6">
        <f ca="1">IF(DAY(JanDom1)=1,JanDom1+26,JanDom1+33)</f>
        <v>43133</v>
      </c>
      <c r="H7" s="6">
        <f ca="1">IF(DAY(JanDom1)=1,JanDom1+27,JanDom1+34)</f>
        <v>43134</v>
      </c>
      <c r="I7" s="6">
        <f ca="1">IF(DAY(JanDom1)=1,JanDom1+28,JanDom1+35)</f>
        <v>43135</v>
      </c>
      <c r="J7" s="20"/>
      <c r="K7" s="35"/>
      <c r="L7" s="18"/>
    </row>
    <row r="8" spans="1:12" ht="30" customHeight="1" x14ac:dyDescent="0.25">
      <c r="A8" s="13"/>
      <c r="B8" s="18"/>
      <c r="C8" s="39">
        <f ca="1">IF(DAY(JanDom1)=1,JanDom1+29,JanDom1+36)</f>
        <v>43136</v>
      </c>
      <c r="D8" s="39">
        <f ca="1">IF(DAY(JanDom1)=1,JanDom1+30,JanDom1+37)</f>
        <v>43137</v>
      </c>
      <c r="E8" s="39">
        <f ca="1">IF(DAY(JanDom1)=1,JanDom1+31,JanDom1+38)</f>
        <v>43138</v>
      </c>
      <c r="F8" s="39">
        <f ca="1">IF(DAY(JanDom1)=1,JanDom1+32,JanDom1+39)</f>
        <v>43139</v>
      </c>
      <c r="G8" s="39">
        <f ca="1">IF(DAY(JanDom1)=1,JanDom1+33,JanDom1+40)</f>
        <v>43140</v>
      </c>
      <c r="H8" s="39">
        <f ca="1">IF(DAY(JanDom1)=1,JanDom1+34,JanDom1+41)</f>
        <v>43141</v>
      </c>
      <c r="I8" s="39">
        <f ca="1">IF(DAY(JanDom1)=1,JanDom1+35,JanDom1+42)</f>
        <v>43142</v>
      </c>
      <c r="J8" s="10" t="s">
        <v>30</v>
      </c>
      <c r="K8" s="36">
        <v>17</v>
      </c>
      <c r="L8" s="48" t="s">
        <v>17</v>
      </c>
    </row>
    <row r="9" spans="1:12" ht="30" customHeight="1" x14ac:dyDescent="0.25">
      <c r="A9" s="13"/>
      <c r="B9" s="17"/>
      <c r="C9" s="53"/>
      <c r="D9" s="53"/>
      <c r="E9" s="53"/>
      <c r="F9" s="53"/>
      <c r="G9" s="53"/>
      <c r="H9" s="53"/>
      <c r="I9" s="53"/>
      <c r="J9" s="10"/>
      <c r="K9" s="36"/>
      <c r="L9" s="48"/>
    </row>
    <row r="10" spans="1:12" ht="30" customHeight="1" x14ac:dyDescent="0.25">
      <c r="A10" s="13"/>
      <c r="B10" s="16" t="s">
        <v>4</v>
      </c>
      <c r="C10" s="9"/>
      <c r="D10" s="9"/>
      <c r="E10" s="9"/>
      <c r="F10" s="9"/>
      <c r="G10" s="9"/>
      <c r="H10" s="9"/>
      <c r="I10" s="9"/>
      <c r="J10" s="10"/>
      <c r="K10" s="36"/>
      <c r="L10" s="48"/>
    </row>
    <row r="11" spans="1:12" ht="30" customHeight="1" x14ac:dyDescent="0.25">
      <c r="A11" s="26" t="s">
        <v>0</v>
      </c>
      <c r="B11" s="14" t="s">
        <v>29</v>
      </c>
      <c r="C11" s="65" t="s">
        <v>30</v>
      </c>
      <c r="D11" s="66"/>
      <c r="E11" s="65" t="s">
        <v>31</v>
      </c>
      <c r="F11" s="66"/>
      <c r="G11" s="65" t="s">
        <v>32</v>
      </c>
      <c r="H11" s="66"/>
      <c r="I11" s="3" t="s">
        <v>33</v>
      </c>
      <c r="J11" s="10"/>
      <c r="K11" s="36"/>
      <c r="L11" s="48"/>
    </row>
    <row r="12" spans="1:12" ht="30" customHeight="1" x14ac:dyDescent="0.25">
      <c r="A12" s="26" t="s">
        <v>1</v>
      </c>
      <c r="B12" s="41">
        <v>0.33333333333333331</v>
      </c>
      <c r="C12" s="68"/>
      <c r="D12" s="68"/>
      <c r="E12" s="68">
        <v>0.33333333333333331</v>
      </c>
      <c r="F12" s="68"/>
      <c r="G12" s="68"/>
      <c r="H12" s="68"/>
      <c r="I12" s="44">
        <v>0.33333333333333331</v>
      </c>
      <c r="J12" s="45"/>
      <c r="K12" s="36"/>
      <c r="L12" s="48"/>
    </row>
    <row r="13" spans="1:12" ht="30" customHeight="1" x14ac:dyDescent="0.25">
      <c r="A13" s="26" t="s">
        <v>2</v>
      </c>
      <c r="B13" s="27" t="s">
        <v>5</v>
      </c>
      <c r="C13" s="67"/>
      <c r="D13" s="67"/>
      <c r="E13" s="67" t="s">
        <v>5</v>
      </c>
      <c r="F13" s="67"/>
      <c r="G13" s="67"/>
      <c r="H13" s="67"/>
      <c r="I13" s="43" t="s">
        <v>5</v>
      </c>
      <c r="J13" s="20"/>
      <c r="K13" s="35"/>
      <c r="L13" s="18"/>
    </row>
    <row r="14" spans="1:12" ht="30" customHeight="1" x14ac:dyDescent="0.25">
      <c r="A14" s="26" t="s">
        <v>1</v>
      </c>
      <c r="B14" s="34"/>
      <c r="C14" s="68">
        <v>0.375</v>
      </c>
      <c r="D14" s="68"/>
      <c r="E14" s="68"/>
      <c r="F14" s="68"/>
      <c r="G14" s="68">
        <v>0.375</v>
      </c>
      <c r="H14" s="71"/>
      <c r="I14" s="44"/>
      <c r="J14" s="10" t="s">
        <v>31</v>
      </c>
      <c r="K14" s="36"/>
      <c r="L14" s="48"/>
    </row>
    <row r="15" spans="1:12" ht="30" customHeight="1" x14ac:dyDescent="0.25">
      <c r="A15" s="26" t="s">
        <v>2</v>
      </c>
      <c r="B15" s="27"/>
      <c r="C15" s="67" t="s">
        <v>11</v>
      </c>
      <c r="D15" s="67"/>
      <c r="E15" s="67"/>
      <c r="F15" s="67"/>
      <c r="G15" s="67" t="s">
        <v>11</v>
      </c>
      <c r="H15" s="67"/>
      <c r="I15" s="43"/>
      <c r="J15" s="10"/>
      <c r="K15" s="36"/>
      <c r="L15" s="48"/>
    </row>
    <row r="16" spans="1:12" ht="30" customHeight="1" x14ac:dyDescent="0.25">
      <c r="A16" s="26" t="s">
        <v>1</v>
      </c>
      <c r="B16" s="34" t="s">
        <v>6</v>
      </c>
      <c r="C16" s="68"/>
      <c r="D16" s="68"/>
      <c r="E16" s="68" t="s">
        <v>6</v>
      </c>
      <c r="F16" s="68"/>
      <c r="G16" s="68"/>
      <c r="H16" s="71"/>
      <c r="I16" s="44" t="s">
        <v>6</v>
      </c>
      <c r="J16" s="10"/>
      <c r="K16" s="36"/>
      <c r="L16" s="48"/>
    </row>
    <row r="17" spans="1:12" ht="30" customHeight="1" x14ac:dyDescent="0.25">
      <c r="A17" s="26" t="s">
        <v>2</v>
      </c>
      <c r="B17" s="27" t="s">
        <v>7</v>
      </c>
      <c r="C17" s="67"/>
      <c r="D17" s="67"/>
      <c r="E17" s="67" t="s">
        <v>7</v>
      </c>
      <c r="F17" s="67"/>
      <c r="G17" s="67"/>
      <c r="H17" s="67"/>
      <c r="I17" s="43" t="s">
        <v>7</v>
      </c>
      <c r="J17" s="10"/>
      <c r="K17" s="36"/>
      <c r="L17" s="48"/>
    </row>
    <row r="18" spans="1:12" ht="30" customHeight="1" x14ac:dyDescent="0.25">
      <c r="A18" s="26" t="s">
        <v>1</v>
      </c>
      <c r="B18" s="34"/>
      <c r="C18" s="68"/>
      <c r="D18" s="68"/>
      <c r="E18" s="68"/>
      <c r="F18" s="68"/>
      <c r="G18" s="68"/>
      <c r="H18" s="71"/>
      <c r="I18" s="44"/>
      <c r="J18" s="10"/>
      <c r="K18" s="36"/>
      <c r="L18" s="48"/>
    </row>
    <row r="19" spans="1:12" ht="30" customHeight="1" x14ac:dyDescent="0.25">
      <c r="A19" s="26" t="s">
        <v>2</v>
      </c>
      <c r="B19" s="27"/>
      <c r="C19" s="67"/>
      <c r="D19" s="67"/>
      <c r="E19" s="67"/>
      <c r="F19" s="67"/>
      <c r="G19" s="67"/>
      <c r="H19" s="67"/>
      <c r="I19" s="46"/>
      <c r="J19" s="20"/>
      <c r="K19" s="35"/>
      <c r="L19" s="18"/>
    </row>
    <row r="20" spans="1:12" ht="30" customHeight="1" x14ac:dyDescent="0.25">
      <c r="A20" s="26" t="s">
        <v>1</v>
      </c>
      <c r="B20" s="34"/>
      <c r="C20" s="68"/>
      <c r="D20" s="68"/>
      <c r="E20" s="68"/>
      <c r="F20" s="68"/>
      <c r="G20" s="68"/>
      <c r="H20" s="71"/>
      <c r="I20" s="44"/>
      <c r="J20" s="10" t="s">
        <v>32</v>
      </c>
      <c r="K20" s="36"/>
      <c r="L20" s="48"/>
    </row>
    <row r="21" spans="1:12" ht="30" customHeight="1" x14ac:dyDescent="0.25">
      <c r="A21" s="26" t="s">
        <v>2</v>
      </c>
      <c r="B21" s="27"/>
      <c r="C21" s="67"/>
      <c r="D21" s="67"/>
      <c r="E21" s="67"/>
      <c r="F21" s="67"/>
      <c r="G21" s="67"/>
      <c r="H21" s="67"/>
      <c r="I21" s="43"/>
      <c r="J21" s="10"/>
      <c r="K21" s="36"/>
      <c r="L21" s="48"/>
    </row>
    <row r="22" spans="1:12" ht="30" customHeight="1" x14ac:dyDescent="0.25">
      <c r="A22" s="26" t="s">
        <v>1</v>
      </c>
      <c r="B22" s="34"/>
      <c r="C22" s="68"/>
      <c r="D22" s="68"/>
      <c r="E22" s="68"/>
      <c r="F22" s="68"/>
      <c r="G22" s="68"/>
      <c r="H22" s="71"/>
      <c r="I22" s="44"/>
      <c r="J22" s="10"/>
      <c r="K22" s="36"/>
      <c r="L22" s="48"/>
    </row>
    <row r="23" spans="1:12" ht="30" customHeight="1" x14ac:dyDescent="0.25">
      <c r="A23" s="26" t="s">
        <v>2</v>
      </c>
      <c r="B23" s="27"/>
      <c r="C23" s="67"/>
      <c r="D23" s="67"/>
      <c r="E23" s="67"/>
      <c r="F23" s="67"/>
      <c r="G23" s="67"/>
      <c r="H23" s="67"/>
      <c r="I23" s="43"/>
      <c r="J23" s="10"/>
      <c r="K23" s="36"/>
      <c r="L23" s="48"/>
    </row>
    <row r="24" spans="1:12" ht="30" customHeight="1" x14ac:dyDescent="0.25">
      <c r="A24" s="26" t="s">
        <v>1</v>
      </c>
      <c r="B24" s="34" t="s">
        <v>8</v>
      </c>
      <c r="C24" s="68"/>
      <c r="D24" s="68"/>
      <c r="E24" s="68" t="s">
        <v>8</v>
      </c>
      <c r="F24" s="68"/>
      <c r="G24" s="68"/>
      <c r="H24" s="71"/>
      <c r="I24" s="44" t="s">
        <v>8</v>
      </c>
      <c r="J24" s="10"/>
      <c r="K24" s="36"/>
      <c r="L24" s="48"/>
    </row>
    <row r="25" spans="1:12" ht="30" customHeight="1" x14ac:dyDescent="0.25">
      <c r="A25" s="26" t="s">
        <v>2</v>
      </c>
      <c r="B25" s="27" t="s">
        <v>9</v>
      </c>
      <c r="C25" s="67"/>
      <c r="D25" s="67"/>
      <c r="E25" s="67" t="s">
        <v>9</v>
      </c>
      <c r="F25" s="67"/>
      <c r="G25" s="67"/>
      <c r="H25" s="67"/>
      <c r="I25" s="43" t="s">
        <v>9</v>
      </c>
      <c r="J25" s="20"/>
      <c r="K25" s="35"/>
      <c r="L25" s="18"/>
    </row>
    <row r="26" spans="1:12" ht="30" customHeight="1" x14ac:dyDescent="0.25">
      <c r="A26" s="26" t="s">
        <v>1</v>
      </c>
      <c r="B26" s="34"/>
      <c r="C26" s="68"/>
      <c r="D26" s="68"/>
      <c r="E26" s="68"/>
      <c r="F26" s="68"/>
      <c r="G26" s="68"/>
      <c r="H26" s="71"/>
      <c r="I26" s="44"/>
      <c r="J26" s="10" t="s">
        <v>33</v>
      </c>
      <c r="K26" s="36"/>
      <c r="L26" s="48"/>
    </row>
    <row r="27" spans="1:12" ht="30" customHeight="1" x14ac:dyDescent="0.25">
      <c r="A27" s="26" t="s">
        <v>2</v>
      </c>
      <c r="B27" s="27"/>
      <c r="C27" s="67"/>
      <c r="D27" s="67"/>
      <c r="E27" s="67"/>
      <c r="F27" s="67"/>
      <c r="G27" s="67"/>
      <c r="H27" s="67"/>
      <c r="I27" s="43"/>
      <c r="J27" s="10"/>
      <c r="K27" s="36"/>
      <c r="L27" s="48"/>
    </row>
    <row r="28" spans="1:12" ht="30" customHeight="1" x14ac:dyDescent="0.25">
      <c r="A28" s="26" t="s">
        <v>1</v>
      </c>
      <c r="B28" s="34"/>
      <c r="C28" s="68" t="s">
        <v>12</v>
      </c>
      <c r="D28" s="68"/>
      <c r="E28" s="68"/>
      <c r="F28" s="68"/>
      <c r="G28" s="68" t="s">
        <v>12</v>
      </c>
      <c r="H28" s="71"/>
      <c r="I28" s="44"/>
      <c r="J28" s="10"/>
      <c r="K28" s="36"/>
      <c r="L28" s="48"/>
    </row>
    <row r="29" spans="1:12" ht="30" customHeight="1" x14ac:dyDescent="0.25">
      <c r="A29" s="26" t="s">
        <v>2</v>
      </c>
      <c r="B29" s="27"/>
      <c r="C29" s="67" t="s">
        <v>13</v>
      </c>
      <c r="D29" s="67"/>
      <c r="E29" s="67"/>
      <c r="F29" s="67"/>
      <c r="G29" s="67" t="s">
        <v>13</v>
      </c>
      <c r="H29" s="67"/>
      <c r="I29" s="43"/>
      <c r="J29" s="10"/>
      <c r="K29" s="36"/>
      <c r="L29" s="48"/>
    </row>
    <row r="30" spans="1:12" ht="30" customHeight="1" x14ac:dyDescent="0.25">
      <c r="A30" s="26" t="s">
        <v>1</v>
      </c>
      <c r="B30" s="34"/>
      <c r="C30" s="70"/>
      <c r="D30" s="70"/>
      <c r="E30" s="70"/>
      <c r="F30" s="70"/>
      <c r="G30" s="70"/>
      <c r="H30" s="70"/>
      <c r="I30" s="44"/>
      <c r="J30" s="10"/>
      <c r="K30" s="36"/>
      <c r="L30" s="48"/>
    </row>
    <row r="31" spans="1:12" ht="30" customHeight="1" x14ac:dyDescent="0.25">
      <c r="A31" s="26" t="s">
        <v>2</v>
      </c>
      <c r="B31" s="28"/>
      <c r="C31" s="69"/>
      <c r="D31" s="69"/>
      <c r="E31" s="69"/>
      <c r="F31" s="69"/>
      <c r="G31" s="69"/>
      <c r="H31" s="69"/>
      <c r="I31" s="29"/>
      <c r="J31" s="15"/>
      <c r="K31" s="42"/>
      <c r="L31" s="48"/>
    </row>
  </sheetData>
  <dataConsolidate/>
  <mergeCells count="63">
    <mergeCell ref="G11:H11"/>
    <mergeCell ref="G12:H12"/>
    <mergeCell ref="G13:H13"/>
    <mergeCell ref="G16:H16"/>
    <mergeCell ref="G17:H17"/>
    <mergeCell ref="G18:H18"/>
    <mergeCell ref="G19:H19"/>
    <mergeCell ref="G14:H14"/>
    <mergeCell ref="G15:H15"/>
    <mergeCell ref="G27:H27"/>
    <mergeCell ref="G31:H31"/>
    <mergeCell ref="G20:H20"/>
    <mergeCell ref="G21:H21"/>
    <mergeCell ref="G22:H22"/>
    <mergeCell ref="G28:H28"/>
    <mergeCell ref="G29:H29"/>
    <mergeCell ref="G30:H30"/>
    <mergeCell ref="G23:H23"/>
    <mergeCell ref="G24:H24"/>
    <mergeCell ref="G25:H25"/>
    <mergeCell ref="G26:H26"/>
    <mergeCell ref="E19:F19"/>
    <mergeCell ref="E18:F18"/>
    <mergeCell ref="E17:F17"/>
    <mergeCell ref="E16:F16"/>
    <mergeCell ref="E15:F15"/>
    <mergeCell ref="C18:D18"/>
    <mergeCell ref="C19:D19"/>
    <mergeCell ref="C20:D20"/>
    <mergeCell ref="C21:D21"/>
    <mergeCell ref="E31:F31"/>
    <mergeCell ref="E30:F30"/>
    <mergeCell ref="E29:F29"/>
    <mergeCell ref="E28:F28"/>
    <mergeCell ref="E27:F27"/>
    <mergeCell ref="E26:F26"/>
    <mergeCell ref="E25:F25"/>
    <mergeCell ref="E24:F24"/>
    <mergeCell ref="E23:F23"/>
    <mergeCell ref="E22:F22"/>
    <mergeCell ref="E21:F21"/>
    <mergeCell ref="E20:F20"/>
    <mergeCell ref="C31:D31"/>
    <mergeCell ref="C22:D22"/>
    <mergeCell ref="C23:D23"/>
    <mergeCell ref="C24:D24"/>
    <mergeCell ref="C25:D25"/>
    <mergeCell ref="C26:D26"/>
    <mergeCell ref="C27:D27"/>
    <mergeCell ref="C28:D28"/>
    <mergeCell ref="C29:D29"/>
    <mergeCell ref="C30:D30"/>
    <mergeCell ref="E11:F11"/>
    <mergeCell ref="C11:D11"/>
    <mergeCell ref="C17:D17"/>
    <mergeCell ref="C12:D12"/>
    <mergeCell ref="C13:D13"/>
    <mergeCell ref="C14:D14"/>
    <mergeCell ref="C15:D15"/>
    <mergeCell ref="C16:D16"/>
    <mergeCell ref="E14:F14"/>
    <mergeCell ref="E13:F13"/>
    <mergeCell ref="E12:F12"/>
  </mergeCells>
  <phoneticPr fontId="2" type="noConversion"/>
  <conditionalFormatting sqref="C3:H3">
    <cfRule type="expression" dxfId="85" priority="9" stopIfTrue="1">
      <formula>DAY(C3)&gt;8</formula>
    </cfRule>
  </conditionalFormatting>
  <conditionalFormatting sqref="C7:I8">
    <cfRule type="expression" dxfId="84" priority="8" stopIfTrue="1">
      <formula>AND(DAY(C7)&gt;=1,DAY(C7)&lt;=15)</formula>
    </cfRule>
  </conditionalFormatting>
  <conditionalFormatting sqref="C3:I8">
    <cfRule type="expression" dxfId="83" priority="20">
      <formula>VLOOKUP(DAY(C3),AssignmentDays,1,FALSE)=DAY(C3)</formula>
    </cfRule>
  </conditionalFormatting>
  <conditionalFormatting sqref="B12:I12 B14:I14 B16:I16 B18:I18 B20:I20 B22:I22 B24:I24 B26:I26 B28:I28 B30:I30">
    <cfRule type="expression" dxfId="82" priority="6">
      <formula>B12&lt;&gt;""</formula>
    </cfRule>
  </conditionalFormatting>
  <conditionalFormatting sqref="B13:I13 B15:I15 B17:I17 B19:I19 B21:I21 B23:I23 B25:I25 B27:I27 B29:I29 B31:I31">
    <cfRule type="expression" dxfId="81" priority="4">
      <formula>B13&lt;&gt;""</formula>
    </cfRule>
  </conditionalFormatting>
  <conditionalFormatting sqref="B13:I13 B15:I15 B17:I17 B19:I19 B21:I21 B23:I23 B25:I25 B27:I27 B29:I29">
    <cfRule type="expression" dxfId="80" priority="3">
      <formula>COLUMN(B12)&gt;=2</formula>
    </cfRule>
  </conditionalFormatting>
  <conditionalFormatting sqref="B12:I31">
    <cfRule type="expression" dxfId="79" priority="1">
      <formula>COLUMN(B11)&gt;2</formula>
    </cfRule>
  </conditionalFormatting>
  <dataValidations xWindow="250" yWindow="581" count="13">
    <dataValidation allowBlank="1" showInputMessage="1" showErrorMessage="1" prompt="Escriba el año en esta celda." sqref="B1" xr:uid="{00000000-0002-0000-0000-000000000000}"/>
    <dataValidation allowBlank="1" showInputMessage="1" showErrorMessage="1" prompt="Prepare una programación semanal y cree una lista de tareas en esta hoja de cálculo. El calendario mensual resalta automáticamente las entradas de la lista de tareas. Escriba el año natural en la celda B1." sqref="A1" xr:uid="{00000000-0002-0000-0000-000001000000}"/>
    <dataValidation allowBlank="1" showInputMessage="1" showErrorMessage="1" prompt="El calendario de enero resalta automáticamente las entradas de la lista de tareas para el mes. Las fuentes más oscuras indican tareas. Las fuentes más claras indican días que pertenecen al mes anterior o siguiente." sqref="B2" xr:uid="{00000000-0002-0000-0000-000002000000}"/>
    <dataValidation allowBlank="1" showInputMessage="1" showErrorMessage="1" prompt="Las celdas C2 a I2 contienen días de la semana." sqref="C2" xr:uid="{00000000-0002-0000-0000-000003000000}"/>
    <dataValidation allowBlank="1" showInputMessage="1" showErrorMessage="1" prompt="Si esta celda no contiene el número 1, se trata de un día del mes anterior. Las celdas C3 a I8 contienen fechas para el mes actual." sqref="C3" xr:uid="{00000000-0002-0000-0000-000004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000-000005000000}"/>
    <dataValidation allowBlank="1" showInputMessage="1" showErrorMessage="1" prompt="Escriba la clase en esta fila, de la columna B a la I." sqref="B13" xr:uid="{00000000-0002-0000-0000-000006000000}"/>
    <dataValidation allowBlank="1" showInputMessage="1" showErrorMessage="1" prompt="Escriba en esta columna el día de la tarea del mes que corresponda al día de la semana de la columna J. Esta fecha resaltará la tarea en el calendario de la izquierda." sqref="K1" xr:uid="{00000000-0002-0000-0000-000007000000}"/>
    <dataValidation allowBlank="1" showInputMessage="1" showErrorMessage="1" prompt="Escriba la hora en esta fila, de la columna B a la I." sqref="B12" xr:uid="{00000000-0002-0000-00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000-000009000000}"/>
    <dataValidation allowBlank="1" showInputMessage="1" showErrorMessage="1" prompt="Si esta fila contiene un número menor que el número o la fila de números anterior, en ese caso, esta fila contiene fechas para el próximo mes del calendario." sqref="C8" xr:uid="{00000000-0002-0000-0000-00000A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000-00000B000000}"/>
    <dataValidation allowBlank="1" showInputMessage="1" showErrorMessage="1" prompt="Los días de la semana se encuentran en esta fila, del lunes al viernes." sqref="B11" xr:uid="{00000000-0002-0000-00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26</v>
      </c>
      <c r="C2" s="7" t="s">
        <v>29</v>
      </c>
      <c r="D2" s="7" t="s">
        <v>30</v>
      </c>
      <c r="E2" s="7" t="s">
        <v>31</v>
      </c>
      <c r="F2" s="7" t="s">
        <v>32</v>
      </c>
      <c r="G2" s="7" t="s">
        <v>33</v>
      </c>
      <c r="H2" s="7" t="s">
        <v>34</v>
      </c>
      <c r="I2" s="7" t="s">
        <v>35</v>
      </c>
      <c r="J2" s="10" t="s">
        <v>29</v>
      </c>
      <c r="K2" s="42"/>
      <c r="L2" s="49"/>
    </row>
    <row r="3" spans="1:12" ht="30" customHeight="1" x14ac:dyDescent="0.25">
      <c r="A3" s="13"/>
      <c r="C3" s="6">
        <f ca="1">IF(DAY(OctDom1)=1,OctDom1-6,OctDom1+1)</f>
        <v>43374</v>
      </c>
      <c r="D3" s="6">
        <f ca="1">IF(DAY(OctDom1)=1,OctDom1-5,OctDom1+2)</f>
        <v>43375</v>
      </c>
      <c r="E3" s="6">
        <f ca="1">IF(DAY(OctDom1)=1,OctDom1-4,OctDom1+3)</f>
        <v>43376</v>
      </c>
      <c r="F3" s="6">
        <f ca="1">IF(DAY(OctDom1)=1,OctDom1-3,OctDom1+4)</f>
        <v>43377</v>
      </c>
      <c r="G3" s="6">
        <f ca="1">IF(DAY(OctDom1)=1,OctDom1-2,OctDom1+5)</f>
        <v>43378</v>
      </c>
      <c r="H3" s="6">
        <f ca="1">IF(DAY(OctDom1)=1,OctDom1-1,OctDom1+6)</f>
        <v>43379</v>
      </c>
      <c r="I3" s="6">
        <f ca="1">IF(DAY(OctDom1)=1,OctDom1,OctDom1+7)</f>
        <v>43380</v>
      </c>
      <c r="J3" s="10"/>
      <c r="K3" s="36"/>
      <c r="L3" s="49"/>
    </row>
    <row r="4" spans="1:12" ht="30" customHeight="1" x14ac:dyDescent="0.25">
      <c r="A4" s="13"/>
      <c r="C4" s="6">
        <f ca="1">IF(DAY(OctDom1)=1,OctDom1+1,OctDom1+8)</f>
        <v>43381</v>
      </c>
      <c r="D4" s="6">
        <f ca="1">IF(DAY(OctDom1)=1,OctDom1+2,OctDom1+9)</f>
        <v>43382</v>
      </c>
      <c r="E4" s="6">
        <f ca="1">IF(DAY(OctDom1)=1,OctDom1+3,OctDom1+10)</f>
        <v>43383</v>
      </c>
      <c r="F4" s="6">
        <f ca="1">IF(DAY(OctDom1)=1,OctDom1+4,OctDom1+11)</f>
        <v>43384</v>
      </c>
      <c r="G4" s="6">
        <f ca="1">IF(DAY(OctDom1)=1,OctDom1+5,OctDom1+12)</f>
        <v>43385</v>
      </c>
      <c r="H4" s="6">
        <f ca="1">IF(DAY(OctDom1)=1,OctDom1+6,OctDom1+13)</f>
        <v>43386</v>
      </c>
      <c r="I4" s="6">
        <f ca="1">IF(DAY(OctDom1)=1,OctDom1+7,OctDom1+14)</f>
        <v>43387</v>
      </c>
      <c r="J4" s="10"/>
      <c r="K4" s="36"/>
      <c r="L4" s="49"/>
    </row>
    <row r="5" spans="1:12" ht="30" customHeight="1" x14ac:dyDescent="0.25">
      <c r="A5" s="13"/>
      <c r="C5" s="6">
        <f ca="1">IF(DAY(OctDom1)=1,OctDom1+8,OctDom1+15)</f>
        <v>43388</v>
      </c>
      <c r="D5" s="6">
        <f ca="1">IF(DAY(OctDom1)=1,OctDom1+9,OctDom1+16)</f>
        <v>43389</v>
      </c>
      <c r="E5" s="6">
        <f ca="1">IF(DAY(OctDom1)=1,OctDom1+10,OctDom1+17)</f>
        <v>43390</v>
      </c>
      <c r="F5" s="6">
        <f ca="1">IF(DAY(OctDom1)=1,OctDom1+11,OctDom1+18)</f>
        <v>43391</v>
      </c>
      <c r="G5" s="6">
        <f ca="1">IF(DAY(OctDom1)=1,OctDom1+12,OctDom1+19)</f>
        <v>43392</v>
      </c>
      <c r="H5" s="6">
        <f ca="1">IF(DAY(OctDom1)=1,OctDom1+13,OctDom1+20)</f>
        <v>43393</v>
      </c>
      <c r="I5" s="6">
        <f ca="1">IF(DAY(OctDom1)=1,OctDom1+14,OctDom1+21)</f>
        <v>43394</v>
      </c>
      <c r="J5" s="10"/>
      <c r="K5" s="36"/>
      <c r="L5" s="49"/>
    </row>
    <row r="6" spans="1:12" ht="30" customHeight="1" x14ac:dyDescent="0.25">
      <c r="A6" s="13"/>
      <c r="C6" s="6">
        <f ca="1">IF(DAY(OctDom1)=1,OctDom1+15,OctDom1+22)</f>
        <v>43395</v>
      </c>
      <c r="D6" s="6">
        <f ca="1">IF(DAY(OctDom1)=1,OctDom1+16,OctDom1+23)</f>
        <v>43396</v>
      </c>
      <c r="E6" s="6">
        <f ca="1">IF(DAY(OctDom1)=1,OctDom1+17,OctDom1+24)</f>
        <v>43397</v>
      </c>
      <c r="F6" s="6">
        <f ca="1">IF(DAY(OctDom1)=1,OctDom1+18,OctDom1+25)</f>
        <v>43398</v>
      </c>
      <c r="G6" s="6">
        <f ca="1">IF(DAY(OctDom1)=1,OctDom1+19,OctDom1+26)</f>
        <v>43399</v>
      </c>
      <c r="H6" s="6">
        <f ca="1">IF(DAY(OctDom1)=1,OctDom1+20,OctDom1+27)</f>
        <v>43400</v>
      </c>
      <c r="I6" s="6">
        <f ca="1">IF(DAY(OctDom1)=1,OctDom1+21,OctDom1+28)</f>
        <v>43401</v>
      </c>
      <c r="J6" s="10"/>
      <c r="K6" s="36"/>
      <c r="L6" s="49"/>
    </row>
    <row r="7" spans="1:12" ht="30" customHeight="1" x14ac:dyDescent="0.25">
      <c r="A7" s="13"/>
      <c r="C7" s="6">
        <f ca="1">IF(DAY(OctDom1)=1,OctDom1+22,OctDom1+29)</f>
        <v>43402</v>
      </c>
      <c r="D7" s="6">
        <f ca="1">IF(DAY(OctDom1)=1,OctDom1+23,OctDom1+30)</f>
        <v>43403</v>
      </c>
      <c r="E7" s="6">
        <f ca="1">IF(DAY(OctDom1)=1,OctDom1+24,OctDom1+31)</f>
        <v>43404</v>
      </c>
      <c r="F7" s="6">
        <f ca="1">IF(DAY(OctDom1)=1,OctDom1+25,OctDom1+32)</f>
        <v>43405</v>
      </c>
      <c r="G7" s="6">
        <f ca="1">IF(DAY(OctDom1)=1,OctDom1+26,OctDom1+33)</f>
        <v>43406</v>
      </c>
      <c r="H7" s="6">
        <f ca="1">IF(DAY(OctDom1)=1,OctDom1+27,OctDom1+34)</f>
        <v>43407</v>
      </c>
      <c r="I7" s="6">
        <f ca="1">IF(DAY(OctDom1)=1,OctDom1+28,OctDom1+35)</f>
        <v>43408</v>
      </c>
      <c r="J7" s="20"/>
      <c r="K7" s="35"/>
      <c r="L7" s="18"/>
    </row>
    <row r="8" spans="1:12" ht="30" customHeight="1" x14ac:dyDescent="0.25">
      <c r="A8" s="13"/>
      <c r="B8" s="18"/>
      <c r="C8" s="6">
        <f ca="1">IF(DAY(OctDom1)=1,OctDom1+29,OctDom1+36)</f>
        <v>43409</v>
      </c>
      <c r="D8" s="6">
        <f ca="1">IF(DAY(OctDom1)=1,OctDom1+30,OctDom1+37)</f>
        <v>43410</v>
      </c>
      <c r="E8" s="6">
        <f ca="1">IF(DAY(OctDom1)=1,OctDom1+31,OctDom1+38)</f>
        <v>43411</v>
      </c>
      <c r="F8" s="6">
        <f ca="1">IF(DAY(OctDom1)=1,OctDom1+32,OctDom1+39)</f>
        <v>43412</v>
      </c>
      <c r="G8" s="6">
        <f ca="1">IF(DAY(OctDom1)=1,OctDom1+33,OctDom1+40)</f>
        <v>43413</v>
      </c>
      <c r="H8" s="6">
        <f ca="1">IF(DAY(OctDom1)=1,OctDom1+34,OctDom1+41)</f>
        <v>43414</v>
      </c>
      <c r="I8" s="6">
        <f ca="1">IF(DAY(OctDom1)=1,OctDom1+35,OctDom1+42)</f>
        <v>43415</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5" t="s">
        <v>30</v>
      </c>
      <c r="D11" s="66"/>
      <c r="E11" s="65" t="s">
        <v>31</v>
      </c>
      <c r="F11" s="66"/>
      <c r="G11" s="65" t="s">
        <v>32</v>
      </c>
      <c r="H11" s="66"/>
      <c r="I11" s="3" t="s">
        <v>33</v>
      </c>
      <c r="J11" s="10"/>
      <c r="K11" s="36"/>
      <c r="L11" s="49"/>
    </row>
    <row r="12" spans="1:12" ht="30" customHeight="1" x14ac:dyDescent="0.25">
      <c r="A12" s="26" t="s">
        <v>1</v>
      </c>
      <c r="B12" s="21">
        <v>0.33333333333333331</v>
      </c>
      <c r="C12" s="73"/>
      <c r="D12" s="73"/>
      <c r="E12" s="73">
        <v>0.33333333333333331</v>
      </c>
      <c r="F12" s="73"/>
      <c r="G12" s="73"/>
      <c r="H12" s="73"/>
      <c r="I12" s="22">
        <v>0.33333333333333331</v>
      </c>
      <c r="J12" s="10"/>
      <c r="K12" s="36"/>
      <c r="L12" s="49"/>
    </row>
    <row r="13" spans="1:12" ht="30" customHeight="1" x14ac:dyDescent="0.25">
      <c r="A13" s="26" t="s">
        <v>2</v>
      </c>
      <c r="B13" s="27" t="s">
        <v>5</v>
      </c>
      <c r="C13" s="67"/>
      <c r="D13" s="67"/>
      <c r="E13" s="67" t="s">
        <v>5</v>
      </c>
      <c r="F13" s="67"/>
      <c r="G13" s="67"/>
      <c r="H13" s="67"/>
      <c r="I13" s="30" t="s">
        <v>5</v>
      </c>
      <c r="J13" s="20"/>
      <c r="K13" s="35"/>
      <c r="L13" s="18"/>
    </row>
    <row r="14" spans="1:12" ht="30" customHeight="1" x14ac:dyDescent="0.25">
      <c r="A14" s="26" t="s">
        <v>1</v>
      </c>
      <c r="B14" s="21"/>
      <c r="C14" s="73">
        <v>0.375</v>
      </c>
      <c r="D14" s="73"/>
      <c r="E14" s="73"/>
      <c r="F14" s="73"/>
      <c r="G14" s="73">
        <v>0.375</v>
      </c>
      <c r="H14" s="73"/>
      <c r="I14" s="22"/>
      <c r="J14" s="10" t="s">
        <v>31</v>
      </c>
      <c r="K14" s="37"/>
      <c r="L14" s="49"/>
    </row>
    <row r="15" spans="1:12" ht="30" customHeight="1" x14ac:dyDescent="0.25">
      <c r="A15" s="26" t="s">
        <v>2</v>
      </c>
      <c r="B15" s="27"/>
      <c r="C15" s="67" t="s">
        <v>11</v>
      </c>
      <c r="D15" s="67"/>
      <c r="E15" s="67"/>
      <c r="F15" s="67"/>
      <c r="G15" s="67" t="s">
        <v>11</v>
      </c>
      <c r="H15" s="67"/>
      <c r="I15" s="30"/>
      <c r="J15" s="10"/>
      <c r="K15" s="36"/>
      <c r="L15" s="49"/>
    </row>
    <row r="16" spans="1:12" ht="30" customHeight="1" x14ac:dyDescent="0.25">
      <c r="A16" s="26" t="s">
        <v>1</v>
      </c>
      <c r="B16" s="21" t="s">
        <v>6</v>
      </c>
      <c r="C16" s="73"/>
      <c r="D16" s="73"/>
      <c r="E16" s="73" t="s">
        <v>6</v>
      </c>
      <c r="F16" s="73"/>
      <c r="G16" s="73"/>
      <c r="H16" s="73"/>
      <c r="I16" s="24" t="s">
        <v>6</v>
      </c>
      <c r="J16" s="10"/>
      <c r="K16" s="36"/>
      <c r="L16" s="49"/>
    </row>
    <row r="17" spans="1:12" ht="30" customHeight="1" x14ac:dyDescent="0.25">
      <c r="A17" s="26" t="s">
        <v>2</v>
      </c>
      <c r="B17" s="27" t="s">
        <v>7</v>
      </c>
      <c r="C17" s="67"/>
      <c r="D17" s="67"/>
      <c r="E17" s="67" t="s">
        <v>7</v>
      </c>
      <c r="F17" s="67"/>
      <c r="G17" s="67"/>
      <c r="H17" s="67"/>
      <c r="I17" s="30" t="s">
        <v>7</v>
      </c>
      <c r="J17" s="10"/>
      <c r="K17" s="36"/>
      <c r="L17" s="49"/>
    </row>
    <row r="18" spans="1:12" ht="30" customHeight="1" x14ac:dyDescent="0.25">
      <c r="A18" s="26" t="s">
        <v>1</v>
      </c>
      <c r="B18" s="21"/>
      <c r="C18" s="73"/>
      <c r="D18" s="73"/>
      <c r="E18" s="73"/>
      <c r="F18" s="73"/>
      <c r="G18" s="73"/>
      <c r="H18" s="73"/>
      <c r="I18" s="22"/>
      <c r="J18" s="10"/>
      <c r="K18" s="36"/>
      <c r="L18" s="49"/>
    </row>
    <row r="19" spans="1:12" ht="30" customHeight="1" x14ac:dyDescent="0.25">
      <c r="A19" s="26" t="s">
        <v>2</v>
      </c>
      <c r="B19" s="27"/>
      <c r="C19" s="67"/>
      <c r="D19" s="67"/>
      <c r="E19" s="67"/>
      <c r="F19" s="67"/>
      <c r="G19" s="67"/>
      <c r="H19" s="67"/>
      <c r="I19" s="47"/>
      <c r="J19" s="20"/>
      <c r="K19" s="35"/>
      <c r="L19" s="50"/>
    </row>
    <row r="20" spans="1:12" ht="30" customHeight="1" x14ac:dyDescent="0.25">
      <c r="A20" s="26" t="s">
        <v>1</v>
      </c>
      <c r="B20" s="21"/>
      <c r="C20" s="73"/>
      <c r="D20" s="73"/>
      <c r="E20" s="73"/>
      <c r="F20" s="73"/>
      <c r="G20" s="73"/>
      <c r="H20" s="73"/>
      <c r="I20" s="22"/>
      <c r="J20" s="10" t="s">
        <v>32</v>
      </c>
      <c r="K20" s="37"/>
      <c r="L20" s="49"/>
    </row>
    <row r="21" spans="1:12" ht="30" customHeight="1" x14ac:dyDescent="0.25">
      <c r="A21" s="26" t="s">
        <v>2</v>
      </c>
      <c r="B21" s="27"/>
      <c r="C21" s="67"/>
      <c r="D21" s="67"/>
      <c r="E21" s="67"/>
      <c r="F21" s="67"/>
      <c r="G21" s="67"/>
      <c r="H21" s="67"/>
      <c r="I21" s="30"/>
      <c r="J21" s="10"/>
      <c r="K21" s="36"/>
      <c r="L21" s="49"/>
    </row>
    <row r="22" spans="1:12" ht="30" customHeight="1" x14ac:dyDescent="0.25">
      <c r="A22" s="26" t="s">
        <v>1</v>
      </c>
      <c r="B22" s="21"/>
      <c r="C22" s="73"/>
      <c r="D22" s="73"/>
      <c r="E22" s="73"/>
      <c r="F22" s="73"/>
      <c r="G22" s="73"/>
      <c r="H22" s="73"/>
      <c r="I22" s="22"/>
      <c r="J22" s="10"/>
      <c r="K22" s="36"/>
      <c r="L22" s="49"/>
    </row>
    <row r="23" spans="1:12" ht="30" customHeight="1" x14ac:dyDescent="0.25">
      <c r="A23" s="26" t="s">
        <v>2</v>
      </c>
      <c r="B23" s="27"/>
      <c r="C23" s="67"/>
      <c r="D23" s="67"/>
      <c r="E23" s="67"/>
      <c r="F23" s="67"/>
      <c r="G23" s="67"/>
      <c r="H23" s="67"/>
      <c r="I23" s="30"/>
      <c r="J23" s="10"/>
      <c r="K23" s="36"/>
      <c r="L23" s="49"/>
    </row>
    <row r="24" spans="1:12" ht="30" customHeight="1" x14ac:dyDescent="0.25">
      <c r="A24" s="26" t="s">
        <v>1</v>
      </c>
      <c r="B24" s="21" t="s">
        <v>8</v>
      </c>
      <c r="C24" s="73"/>
      <c r="D24" s="73"/>
      <c r="E24" s="73" t="s">
        <v>8</v>
      </c>
      <c r="F24" s="73"/>
      <c r="G24" s="73"/>
      <c r="H24" s="73"/>
      <c r="I24" s="22" t="s">
        <v>8</v>
      </c>
      <c r="J24" s="10"/>
      <c r="K24" s="36"/>
      <c r="L24" s="49"/>
    </row>
    <row r="25" spans="1:12" ht="30" customHeight="1" x14ac:dyDescent="0.25">
      <c r="A25" s="26" t="s">
        <v>2</v>
      </c>
      <c r="B25" s="27" t="s">
        <v>9</v>
      </c>
      <c r="C25" s="67"/>
      <c r="D25" s="67"/>
      <c r="E25" s="67" t="s">
        <v>9</v>
      </c>
      <c r="F25" s="67"/>
      <c r="G25" s="67"/>
      <c r="H25" s="67"/>
      <c r="I25" s="30" t="s">
        <v>9</v>
      </c>
      <c r="J25" s="20"/>
      <c r="K25" s="35"/>
      <c r="L25" s="50"/>
    </row>
    <row r="26" spans="1:12" ht="30" customHeight="1" x14ac:dyDescent="0.25">
      <c r="A26" s="26" t="s">
        <v>1</v>
      </c>
      <c r="B26" s="21"/>
      <c r="C26" s="73"/>
      <c r="D26" s="73"/>
      <c r="E26" s="73"/>
      <c r="F26" s="73"/>
      <c r="G26" s="73"/>
      <c r="H26" s="73"/>
      <c r="I26" s="22"/>
      <c r="J26" s="10" t="s">
        <v>33</v>
      </c>
      <c r="K26" s="37"/>
      <c r="L26" s="49"/>
    </row>
    <row r="27" spans="1:12" ht="30" customHeight="1" x14ac:dyDescent="0.25">
      <c r="A27" s="26" t="s">
        <v>2</v>
      </c>
      <c r="B27" s="27"/>
      <c r="C27" s="67"/>
      <c r="D27" s="67"/>
      <c r="E27" s="67"/>
      <c r="F27" s="67"/>
      <c r="G27" s="67"/>
      <c r="H27" s="67"/>
      <c r="I27" s="30"/>
      <c r="J27" s="10"/>
      <c r="K27" s="36"/>
      <c r="L27" s="49"/>
    </row>
    <row r="28" spans="1:12" ht="30" customHeight="1" x14ac:dyDescent="0.25">
      <c r="A28" s="26" t="s">
        <v>1</v>
      </c>
      <c r="B28" s="21"/>
      <c r="C28" s="73" t="s">
        <v>12</v>
      </c>
      <c r="D28" s="73"/>
      <c r="E28" s="73"/>
      <c r="F28" s="73"/>
      <c r="G28" s="73" t="s">
        <v>12</v>
      </c>
      <c r="H28" s="73"/>
      <c r="I28" s="22"/>
      <c r="J28" s="10"/>
      <c r="K28" s="36"/>
      <c r="L28" s="49"/>
    </row>
    <row r="29" spans="1:12" ht="30" customHeight="1" x14ac:dyDescent="0.25">
      <c r="A29" s="26" t="s">
        <v>2</v>
      </c>
      <c r="B29" s="27"/>
      <c r="C29" s="67" t="s">
        <v>13</v>
      </c>
      <c r="D29" s="67"/>
      <c r="E29" s="67"/>
      <c r="F29" s="67"/>
      <c r="G29" s="67" t="s">
        <v>13</v>
      </c>
      <c r="H29" s="67"/>
      <c r="I29" s="30"/>
      <c r="J29" s="10"/>
      <c r="K29" s="36"/>
      <c r="L29" s="49"/>
    </row>
    <row r="30" spans="1:12" ht="30" customHeight="1" x14ac:dyDescent="0.25">
      <c r="A30" s="26" t="s">
        <v>1</v>
      </c>
      <c r="B30" s="21"/>
      <c r="C30" s="73"/>
      <c r="D30" s="73"/>
      <c r="E30" s="73"/>
      <c r="F30" s="73"/>
      <c r="G30" s="73"/>
      <c r="H30" s="73"/>
      <c r="I30" s="22"/>
      <c r="J30" s="10"/>
      <c r="K30" s="36"/>
      <c r="L30" s="49"/>
    </row>
    <row r="31" spans="1:12" ht="30" customHeight="1" x14ac:dyDescent="0.25">
      <c r="A31" s="26" t="s">
        <v>2</v>
      </c>
      <c r="B31" s="28"/>
      <c r="C31" s="69"/>
      <c r="D31" s="69"/>
      <c r="E31" s="69"/>
      <c r="F31" s="69"/>
      <c r="G31" s="69"/>
      <c r="H31" s="69"/>
      <c r="I31" s="40"/>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22" priority="8" stopIfTrue="1">
      <formula>DAY(C3)&gt;8</formula>
    </cfRule>
  </conditionalFormatting>
  <conditionalFormatting sqref="C7:I8">
    <cfRule type="expression" dxfId="21" priority="7" stopIfTrue="1">
      <formula>AND(DAY(C7)&gt;=1,DAY(C7)&lt;=15)</formula>
    </cfRule>
  </conditionalFormatting>
  <conditionalFormatting sqref="C3:I8">
    <cfRule type="expression" dxfId="20" priority="9">
      <formula>VLOOKUP(DAY(C3),AssignmentDays,1,FALSE)=DAY(C3)</formula>
    </cfRule>
  </conditionalFormatting>
  <conditionalFormatting sqref="B13:I13 B15:I15 B17:I17 B19:I19 B21:I21 B23:I23 B25:I25 B27:I27 B29:I29 B31:I31">
    <cfRule type="expression" dxfId="19" priority="6">
      <formula>B13&lt;&gt;""</formula>
    </cfRule>
  </conditionalFormatting>
  <conditionalFormatting sqref="B12:I12 B14:I14 B16:I16 B18:I18 B20:I20 B22:I22 B24:I24 B26:I26 B28:I28 B30:I30">
    <cfRule type="expression" dxfId="18" priority="5">
      <formula>B12&lt;&gt;""</formula>
    </cfRule>
  </conditionalFormatting>
  <conditionalFormatting sqref="B13:I13 B15:I15 B17:I17 B19:I19 B21:I21 B23:I23 B25:I25 B27:I27 B29:I29">
    <cfRule type="expression" dxfId="17" priority="2">
      <formula>COLUMN(B13)&gt;=2</formula>
    </cfRule>
    <cfRule type="expression" dxfId="16" priority="4">
      <formula>COLUMN(B11)&gt;2</formula>
    </cfRule>
  </conditionalFormatting>
  <conditionalFormatting sqref="B31:I31">
    <cfRule type="expression" dxfId="15" priority="3">
      <formula>COLUMN(B12)&gt;2</formula>
    </cfRule>
  </conditionalFormatting>
  <conditionalFormatting sqref="B12:I31">
    <cfRule type="expression" dxfId="14" priority="1">
      <formula>COLUMN(B12)&gt;2</formula>
    </cfRule>
  </conditionalFormatting>
  <dataValidations count="13">
    <dataValidation allowBlank="1" showInputMessage="1" showErrorMessage="1" prompt="El calendario de octubre resalta automáticamente las entradas de la lista de tareas para el mes. Las fuentes más oscuras indican tareas. Las fuentes más claras indican días que pertenecen al mes anterior o siguiente." sqref="B2" xr:uid="{00000000-0002-0000-0900-000000000000}"/>
    <dataValidation allowBlank="1" showInputMessage="1" showErrorMessage="1" prompt="El año se actualiza automáticamente. Para cambiar el año, actualice la celda B1 en la hoja de cálculo de Ene." sqref="B1" xr:uid="{00000000-0002-0000-09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900-000002000000}"/>
    <dataValidation allowBlank="1" showInputMessage="1" showErrorMessage="1" prompt="Las celdas C2 a I2 contienen días de la semana." sqref="C2" xr:uid="{00000000-0002-0000-0900-000003000000}"/>
    <dataValidation allowBlank="1" showInputMessage="1" showErrorMessage="1" prompt="Si esta celda no contiene el número 1, se trata de un día del mes anterior. Las celdas C3 a I8 contienen fechas para el mes actual." sqref="C3" xr:uid="{00000000-0002-0000-0900-000004000000}"/>
    <dataValidation allowBlank="1" showInputMessage="1" showErrorMessage="1" prompt="Si esta fila contiene un número menor que el número o la fila de números anterior, en ese caso, esta fila contiene fechas para el próximo mes del calendario." sqref="C8" xr:uid="{00000000-0002-0000-0900-000005000000}"/>
    <dataValidation allowBlank="1" showInputMessage="1" showErrorMessage="1" prompt="Escriba la hora en esta fila, de la columna B a la I." sqref="B12" xr:uid="{00000000-0002-0000-0900-000006000000}"/>
    <dataValidation allowBlank="1" showInputMessage="1" showErrorMessage="1" prompt="Escriba la clase en esta fila, de la columna B a la I." sqref="B13" xr:uid="{00000000-0002-0000-09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9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9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900-00000A000000}"/>
    <dataValidation allowBlank="1" showInputMessage="1" showErrorMessage="1" prompt="Los días de la semana se encuentran en esta fila, del lunes al viernes." sqref="B11" xr:uid="{00000000-0002-0000-09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9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27</v>
      </c>
      <c r="C2" s="7" t="s">
        <v>29</v>
      </c>
      <c r="D2" s="7" t="s">
        <v>30</v>
      </c>
      <c r="E2" s="7" t="s">
        <v>31</v>
      </c>
      <c r="F2" s="7" t="s">
        <v>32</v>
      </c>
      <c r="G2" s="7" t="s">
        <v>33</v>
      </c>
      <c r="H2" s="7" t="s">
        <v>34</v>
      </c>
      <c r="I2" s="7" t="s">
        <v>35</v>
      </c>
      <c r="J2" s="10" t="s">
        <v>29</v>
      </c>
      <c r="K2" s="42"/>
      <c r="L2" s="49"/>
    </row>
    <row r="3" spans="1:12" ht="30" customHeight="1" x14ac:dyDescent="0.25">
      <c r="A3" s="13"/>
      <c r="C3" s="6">
        <f ca="1">IF(DAY(NovDom1)=1,NovDom1-6,NovDom1+1)</f>
        <v>43402</v>
      </c>
      <c r="D3" s="6">
        <f ca="1">IF(DAY(NovDom1)=1,NovDom1-5,NovDom1+2)</f>
        <v>43403</v>
      </c>
      <c r="E3" s="6">
        <f ca="1">IF(DAY(NovDom1)=1,NovDom1-4,NovDom1+3)</f>
        <v>43404</v>
      </c>
      <c r="F3" s="6">
        <f ca="1">IF(DAY(NovDom1)=1,NovDom1-3,NovDom1+4)</f>
        <v>43405</v>
      </c>
      <c r="G3" s="6">
        <f ca="1">IF(DAY(NovDom1)=1,NovDom1-2,NovDom1+5)</f>
        <v>43406</v>
      </c>
      <c r="H3" s="6">
        <f ca="1">IF(DAY(NovDom1)=1,NovDom1-1,NovDom1+6)</f>
        <v>43407</v>
      </c>
      <c r="I3" s="6">
        <f ca="1">IF(DAY(NovDom1)=1,NovDom1,NovDom1+7)</f>
        <v>43408</v>
      </c>
      <c r="J3" s="10"/>
      <c r="K3" s="36"/>
      <c r="L3" s="49"/>
    </row>
    <row r="4" spans="1:12" ht="30" customHeight="1" x14ac:dyDescent="0.25">
      <c r="A4" s="13"/>
      <c r="C4" s="6">
        <f ca="1">IF(DAY(NovDom1)=1,NovDom1+1,NovDom1+8)</f>
        <v>43409</v>
      </c>
      <c r="D4" s="6">
        <f ca="1">IF(DAY(NovDom1)=1,NovDom1+2,NovDom1+9)</f>
        <v>43410</v>
      </c>
      <c r="E4" s="6">
        <f ca="1">IF(DAY(NovDom1)=1,NovDom1+3,NovDom1+10)</f>
        <v>43411</v>
      </c>
      <c r="F4" s="6">
        <f ca="1">IF(DAY(NovDom1)=1,NovDom1+4,NovDom1+11)</f>
        <v>43412</v>
      </c>
      <c r="G4" s="6">
        <f ca="1">IF(DAY(NovDom1)=1,NovDom1+5,NovDom1+12)</f>
        <v>43413</v>
      </c>
      <c r="H4" s="6">
        <f ca="1">IF(DAY(NovDom1)=1,NovDom1+6,NovDom1+13)</f>
        <v>43414</v>
      </c>
      <c r="I4" s="6">
        <f ca="1">IF(DAY(NovDom1)=1,NovDom1+7,NovDom1+14)</f>
        <v>43415</v>
      </c>
      <c r="J4" s="10"/>
      <c r="K4" s="36"/>
      <c r="L4" s="49"/>
    </row>
    <row r="5" spans="1:12" ht="30" customHeight="1" x14ac:dyDescent="0.25">
      <c r="A5" s="13"/>
      <c r="C5" s="6">
        <f ca="1">IF(DAY(NovDom1)=1,NovDom1+8,NovDom1+15)</f>
        <v>43416</v>
      </c>
      <c r="D5" s="6">
        <f ca="1">IF(DAY(NovDom1)=1,NovDom1+9,NovDom1+16)</f>
        <v>43417</v>
      </c>
      <c r="E5" s="6">
        <f ca="1">IF(DAY(NovDom1)=1,NovDom1+10,NovDom1+17)</f>
        <v>43418</v>
      </c>
      <c r="F5" s="6">
        <f ca="1">IF(DAY(NovDom1)=1,NovDom1+11,NovDom1+18)</f>
        <v>43419</v>
      </c>
      <c r="G5" s="6">
        <f ca="1">IF(DAY(NovDom1)=1,NovDom1+12,NovDom1+19)</f>
        <v>43420</v>
      </c>
      <c r="H5" s="6">
        <f ca="1">IF(DAY(NovDom1)=1,NovDom1+13,NovDom1+20)</f>
        <v>43421</v>
      </c>
      <c r="I5" s="6">
        <f ca="1">IF(DAY(NovDom1)=1,NovDom1+14,NovDom1+21)</f>
        <v>43422</v>
      </c>
      <c r="J5" s="10"/>
      <c r="K5" s="36"/>
      <c r="L5" s="49"/>
    </row>
    <row r="6" spans="1:12" ht="30" customHeight="1" x14ac:dyDescent="0.25">
      <c r="A6" s="13"/>
      <c r="C6" s="6">
        <f ca="1">IF(DAY(NovDom1)=1,NovDom1+15,NovDom1+22)</f>
        <v>43423</v>
      </c>
      <c r="D6" s="6">
        <f ca="1">IF(DAY(NovDom1)=1,NovDom1+16,NovDom1+23)</f>
        <v>43424</v>
      </c>
      <c r="E6" s="6">
        <f ca="1">IF(DAY(NovDom1)=1,NovDom1+17,NovDom1+24)</f>
        <v>43425</v>
      </c>
      <c r="F6" s="6">
        <f ca="1">IF(DAY(NovDom1)=1,NovDom1+18,NovDom1+25)</f>
        <v>43426</v>
      </c>
      <c r="G6" s="6">
        <f ca="1">IF(DAY(NovDom1)=1,NovDom1+19,NovDom1+26)</f>
        <v>43427</v>
      </c>
      <c r="H6" s="6">
        <f ca="1">IF(DAY(NovDom1)=1,NovDom1+20,NovDom1+27)</f>
        <v>43428</v>
      </c>
      <c r="I6" s="6">
        <f ca="1">IF(DAY(NovDom1)=1,NovDom1+21,NovDom1+28)</f>
        <v>43429</v>
      </c>
      <c r="J6" s="10"/>
      <c r="K6" s="36"/>
      <c r="L6" s="49"/>
    </row>
    <row r="7" spans="1:12" ht="30" customHeight="1" x14ac:dyDescent="0.25">
      <c r="A7" s="13"/>
      <c r="C7" s="6">
        <f ca="1">IF(DAY(NovDom1)=1,NovDom1+22,NovDom1+29)</f>
        <v>43430</v>
      </c>
      <c r="D7" s="6">
        <f ca="1">IF(DAY(NovDom1)=1,NovDom1+23,NovDom1+30)</f>
        <v>43431</v>
      </c>
      <c r="E7" s="6">
        <f ca="1">IF(DAY(NovDom1)=1,NovDom1+24,NovDom1+31)</f>
        <v>43432</v>
      </c>
      <c r="F7" s="6">
        <f ca="1">IF(DAY(NovDom1)=1,NovDom1+25,NovDom1+32)</f>
        <v>43433</v>
      </c>
      <c r="G7" s="6">
        <f ca="1">IF(DAY(NovDom1)=1,NovDom1+26,NovDom1+33)</f>
        <v>43434</v>
      </c>
      <c r="H7" s="6">
        <f ca="1">IF(DAY(NovDom1)=1,NovDom1+27,NovDom1+34)</f>
        <v>43435</v>
      </c>
      <c r="I7" s="6">
        <f ca="1">IF(DAY(NovDom1)=1,NovDom1+28,NovDom1+35)</f>
        <v>43436</v>
      </c>
      <c r="J7" s="20"/>
      <c r="K7" s="35"/>
      <c r="L7" s="18"/>
    </row>
    <row r="8" spans="1:12" ht="30" customHeight="1" x14ac:dyDescent="0.25">
      <c r="A8" s="13"/>
      <c r="B8" s="18"/>
      <c r="C8" s="6">
        <f ca="1">IF(DAY(NovDom1)=1,NovDom1+29,NovDom1+36)</f>
        <v>43437</v>
      </c>
      <c r="D8" s="6">
        <f ca="1">IF(DAY(NovDom1)=1,NovDom1+30,NovDom1+37)</f>
        <v>43438</v>
      </c>
      <c r="E8" s="6">
        <f ca="1">IF(DAY(NovDom1)=1,NovDom1+31,NovDom1+38)</f>
        <v>43439</v>
      </c>
      <c r="F8" s="6">
        <f ca="1">IF(DAY(NovDom1)=1,NovDom1+32,NovDom1+39)</f>
        <v>43440</v>
      </c>
      <c r="G8" s="6">
        <f ca="1">IF(DAY(NovDom1)=1,NovDom1+33,NovDom1+40)</f>
        <v>43441</v>
      </c>
      <c r="H8" s="6">
        <f ca="1">IF(DAY(NovDom1)=1,NovDom1+34,NovDom1+41)</f>
        <v>43442</v>
      </c>
      <c r="I8" s="6">
        <f ca="1">IF(DAY(NovDom1)=1,NovDom1+35,NovDom1+42)</f>
        <v>43443</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5" t="s">
        <v>30</v>
      </c>
      <c r="D11" s="66"/>
      <c r="E11" s="65" t="s">
        <v>31</v>
      </c>
      <c r="F11" s="66"/>
      <c r="G11" s="65" t="s">
        <v>32</v>
      </c>
      <c r="H11" s="66"/>
      <c r="I11" s="3" t="s">
        <v>33</v>
      </c>
      <c r="J11" s="10"/>
      <c r="K11" s="36"/>
      <c r="L11" s="49"/>
    </row>
    <row r="12" spans="1:12" ht="30" customHeight="1" x14ac:dyDescent="0.25">
      <c r="A12" s="26" t="s">
        <v>1</v>
      </c>
      <c r="B12" s="21">
        <v>0.33333333333333331</v>
      </c>
      <c r="C12" s="72"/>
      <c r="D12" s="72"/>
      <c r="E12" s="72">
        <v>0.33333333333333331</v>
      </c>
      <c r="F12" s="72"/>
      <c r="G12" s="72"/>
      <c r="H12" s="72"/>
      <c r="I12" s="22">
        <v>0.33333333333333331</v>
      </c>
      <c r="J12" s="10"/>
      <c r="K12" s="36"/>
      <c r="L12" s="49"/>
    </row>
    <row r="13" spans="1:12" ht="30" customHeight="1" x14ac:dyDescent="0.25">
      <c r="A13" s="26" t="s">
        <v>2</v>
      </c>
      <c r="B13" s="27" t="s">
        <v>5</v>
      </c>
      <c r="C13" s="67"/>
      <c r="D13" s="67"/>
      <c r="E13" s="67" t="s">
        <v>5</v>
      </c>
      <c r="F13" s="67"/>
      <c r="G13" s="67"/>
      <c r="H13" s="67"/>
      <c r="I13" s="30" t="s">
        <v>5</v>
      </c>
      <c r="J13" s="20"/>
      <c r="K13" s="35"/>
      <c r="L13" s="18"/>
    </row>
    <row r="14" spans="1:12" ht="30" customHeight="1" x14ac:dyDescent="0.25">
      <c r="A14" s="26" t="s">
        <v>1</v>
      </c>
      <c r="B14" s="21"/>
      <c r="C14" s="72">
        <v>0.375</v>
      </c>
      <c r="D14" s="72"/>
      <c r="E14" s="72"/>
      <c r="F14" s="72"/>
      <c r="G14" s="72">
        <v>0.375</v>
      </c>
      <c r="H14" s="72"/>
      <c r="I14" s="22"/>
      <c r="J14" s="10" t="s">
        <v>31</v>
      </c>
      <c r="K14" s="37"/>
      <c r="L14" s="49"/>
    </row>
    <row r="15" spans="1:12" ht="30" customHeight="1" x14ac:dyDescent="0.25">
      <c r="A15" s="26" t="s">
        <v>2</v>
      </c>
      <c r="B15" s="27"/>
      <c r="C15" s="67" t="s">
        <v>11</v>
      </c>
      <c r="D15" s="67"/>
      <c r="E15" s="67"/>
      <c r="F15" s="67"/>
      <c r="G15" s="67" t="s">
        <v>11</v>
      </c>
      <c r="H15" s="67"/>
      <c r="I15" s="30"/>
      <c r="J15" s="10"/>
      <c r="K15" s="36"/>
      <c r="L15" s="49"/>
    </row>
    <row r="16" spans="1:12" ht="30" customHeight="1" x14ac:dyDescent="0.25">
      <c r="A16" s="26" t="s">
        <v>1</v>
      </c>
      <c r="B16" s="21" t="s">
        <v>6</v>
      </c>
      <c r="C16" s="72"/>
      <c r="D16" s="72"/>
      <c r="E16" s="72" t="s">
        <v>6</v>
      </c>
      <c r="F16" s="72"/>
      <c r="G16" s="72"/>
      <c r="H16" s="72"/>
      <c r="I16" s="24" t="s">
        <v>6</v>
      </c>
      <c r="J16" s="10"/>
      <c r="K16" s="36"/>
      <c r="L16" s="49"/>
    </row>
    <row r="17" spans="1:12" ht="30" customHeight="1" x14ac:dyDescent="0.25">
      <c r="A17" s="26" t="s">
        <v>2</v>
      </c>
      <c r="B17" s="27" t="s">
        <v>7</v>
      </c>
      <c r="C17" s="67"/>
      <c r="D17" s="67"/>
      <c r="E17" s="67" t="s">
        <v>7</v>
      </c>
      <c r="F17" s="67"/>
      <c r="G17" s="67"/>
      <c r="H17" s="67"/>
      <c r="I17" s="30" t="s">
        <v>7</v>
      </c>
      <c r="J17" s="10"/>
      <c r="K17" s="36"/>
      <c r="L17" s="49"/>
    </row>
    <row r="18" spans="1:12" ht="30" customHeight="1" x14ac:dyDescent="0.25">
      <c r="A18" s="26" t="s">
        <v>1</v>
      </c>
      <c r="B18" s="21"/>
      <c r="C18" s="72"/>
      <c r="D18" s="72"/>
      <c r="E18" s="72"/>
      <c r="F18" s="72"/>
      <c r="G18" s="72"/>
      <c r="H18" s="72"/>
      <c r="I18" s="22"/>
      <c r="J18" s="10"/>
      <c r="K18" s="36"/>
      <c r="L18" s="49"/>
    </row>
    <row r="19" spans="1:12" ht="30" customHeight="1" x14ac:dyDescent="0.25">
      <c r="A19" s="26" t="s">
        <v>2</v>
      </c>
      <c r="B19" s="27"/>
      <c r="C19" s="67"/>
      <c r="D19" s="67"/>
      <c r="E19" s="67"/>
      <c r="F19" s="67"/>
      <c r="G19" s="67"/>
      <c r="H19" s="67"/>
      <c r="I19" s="47"/>
      <c r="J19" s="20"/>
      <c r="K19" s="35"/>
      <c r="L19" s="50"/>
    </row>
    <row r="20" spans="1:12" ht="30" customHeight="1" x14ac:dyDescent="0.25">
      <c r="A20" s="26" t="s">
        <v>1</v>
      </c>
      <c r="B20" s="21"/>
      <c r="C20" s="72"/>
      <c r="D20" s="72"/>
      <c r="E20" s="72"/>
      <c r="F20" s="72"/>
      <c r="G20" s="72"/>
      <c r="H20" s="72"/>
      <c r="I20" s="22"/>
      <c r="J20" s="10" t="s">
        <v>32</v>
      </c>
      <c r="K20" s="37"/>
      <c r="L20" s="49"/>
    </row>
    <row r="21" spans="1:12" ht="30" customHeight="1" x14ac:dyDescent="0.25">
      <c r="A21" s="26" t="s">
        <v>2</v>
      </c>
      <c r="B21" s="27"/>
      <c r="C21" s="67"/>
      <c r="D21" s="67"/>
      <c r="E21" s="67"/>
      <c r="F21" s="67"/>
      <c r="G21" s="67"/>
      <c r="H21" s="67"/>
      <c r="I21" s="30"/>
      <c r="J21" s="10"/>
      <c r="K21" s="36"/>
      <c r="L21" s="49"/>
    </row>
    <row r="22" spans="1:12" ht="30" customHeight="1" x14ac:dyDescent="0.25">
      <c r="A22" s="26" t="s">
        <v>1</v>
      </c>
      <c r="B22" s="21"/>
      <c r="C22" s="72"/>
      <c r="D22" s="72"/>
      <c r="E22" s="72"/>
      <c r="F22" s="72"/>
      <c r="G22" s="72"/>
      <c r="H22" s="72"/>
      <c r="I22" s="22"/>
      <c r="J22" s="10"/>
      <c r="K22" s="36"/>
      <c r="L22" s="49"/>
    </row>
    <row r="23" spans="1:12" ht="30" customHeight="1" x14ac:dyDescent="0.25">
      <c r="A23" s="26" t="s">
        <v>2</v>
      </c>
      <c r="B23" s="27"/>
      <c r="C23" s="67"/>
      <c r="D23" s="67"/>
      <c r="E23" s="67"/>
      <c r="F23" s="67"/>
      <c r="G23" s="67"/>
      <c r="H23" s="67"/>
      <c r="I23" s="30"/>
      <c r="J23" s="10"/>
      <c r="K23" s="36"/>
      <c r="L23" s="49"/>
    </row>
    <row r="24" spans="1:12" ht="30" customHeight="1" x14ac:dyDescent="0.25">
      <c r="A24" s="26" t="s">
        <v>1</v>
      </c>
      <c r="B24" s="21" t="s">
        <v>8</v>
      </c>
      <c r="C24" s="72"/>
      <c r="D24" s="72"/>
      <c r="E24" s="72" t="s">
        <v>8</v>
      </c>
      <c r="F24" s="72"/>
      <c r="G24" s="72"/>
      <c r="H24" s="72"/>
      <c r="I24" s="22" t="s">
        <v>8</v>
      </c>
      <c r="J24" s="10"/>
      <c r="K24" s="36"/>
      <c r="L24" s="49"/>
    </row>
    <row r="25" spans="1:12" ht="30" customHeight="1" x14ac:dyDescent="0.25">
      <c r="A25" s="26" t="s">
        <v>2</v>
      </c>
      <c r="B25" s="27" t="s">
        <v>9</v>
      </c>
      <c r="C25" s="67"/>
      <c r="D25" s="67"/>
      <c r="E25" s="67" t="s">
        <v>9</v>
      </c>
      <c r="F25" s="67"/>
      <c r="G25" s="67"/>
      <c r="H25" s="67"/>
      <c r="I25" s="30" t="s">
        <v>9</v>
      </c>
      <c r="J25" s="20"/>
      <c r="K25" s="35"/>
      <c r="L25" s="50"/>
    </row>
    <row r="26" spans="1:12" ht="30" customHeight="1" x14ac:dyDescent="0.25">
      <c r="A26" s="26" t="s">
        <v>1</v>
      </c>
      <c r="B26" s="21"/>
      <c r="C26" s="72"/>
      <c r="D26" s="72"/>
      <c r="E26" s="72"/>
      <c r="F26" s="72"/>
      <c r="G26" s="72"/>
      <c r="H26" s="72"/>
      <c r="I26" s="22"/>
      <c r="J26" s="10" t="s">
        <v>33</v>
      </c>
      <c r="K26" s="37"/>
      <c r="L26" s="49"/>
    </row>
    <row r="27" spans="1:12" ht="30" customHeight="1" x14ac:dyDescent="0.25">
      <c r="A27" s="26" t="s">
        <v>2</v>
      </c>
      <c r="B27" s="27"/>
      <c r="C27" s="67"/>
      <c r="D27" s="67"/>
      <c r="E27" s="67"/>
      <c r="F27" s="67"/>
      <c r="G27" s="67"/>
      <c r="H27" s="67"/>
      <c r="I27" s="30"/>
      <c r="J27" s="10"/>
      <c r="K27" s="36"/>
      <c r="L27" s="49"/>
    </row>
    <row r="28" spans="1:12" ht="30" customHeight="1" x14ac:dyDescent="0.25">
      <c r="A28" s="26" t="s">
        <v>1</v>
      </c>
      <c r="B28" s="21"/>
      <c r="C28" s="72" t="s">
        <v>12</v>
      </c>
      <c r="D28" s="72"/>
      <c r="E28" s="72"/>
      <c r="F28" s="72"/>
      <c r="G28" s="72" t="s">
        <v>12</v>
      </c>
      <c r="H28" s="72"/>
      <c r="I28" s="22"/>
      <c r="J28" s="10"/>
      <c r="K28" s="36"/>
      <c r="L28" s="49"/>
    </row>
    <row r="29" spans="1:12" ht="30" customHeight="1" x14ac:dyDescent="0.25">
      <c r="A29" s="26" t="s">
        <v>2</v>
      </c>
      <c r="B29" s="27"/>
      <c r="C29" s="67" t="s">
        <v>13</v>
      </c>
      <c r="D29" s="67"/>
      <c r="E29" s="67"/>
      <c r="F29" s="67"/>
      <c r="G29" s="67" t="s">
        <v>13</v>
      </c>
      <c r="H29" s="67"/>
      <c r="I29" s="30"/>
      <c r="J29" s="10"/>
      <c r="K29" s="36"/>
      <c r="L29" s="49"/>
    </row>
    <row r="30" spans="1:12" ht="30" customHeight="1" x14ac:dyDescent="0.25">
      <c r="A30" s="26" t="s">
        <v>1</v>
      </c>
      <c r="B30" s="21"/>
      <c r="C30" s="72"/>
      <c r="D30" s="72"/>
      <c r="E30" s="72"/>
      <c r="F30" s="72"/>
      <c r="G30" s="72"/>
      <c r="H30" s="72"/>
      <c r="I30" s="22"/>
      <c r="J30" s="10"/>
      <c r="K30" s="36"/>
      <c r="L30" s="49"/>
    </row>
    <row r="31" spans="1:12" ht="30" customHeight="1" x14ac:dyDescent="0.25">
      <c r="A31" s="26" t="s">
        <v>2</v>
      </c>
      <c r="B31" s="28"/>
      <c r="C31" s="69"/>
      <c r="D31" s="69"/>
      <c r="E31" s="69"/>
      <c r="F31" s="69"/>
      <c r="G31" s="69"/>
      <c r="H31" s="69"/>
      <c r="I31" s="40"/>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13" priority="6" stopIfTrue="1">
      <formula>DAY(C3)&gt;8</formula>
    </cfRule>
  </conditionalFormatting>
  <conditionalFormatting sqref="C7:I8">
    <cfRule type="expression" dxfId="12" priority="5" stopIfTrue="1">
      <formula>AND(DAY(C7)&gt;=1,DAY(C7)&lt;=15)</formula>
    </cfRule>
  </conditionalFormatting>
  <conditionalFormatting sqref="C3:I8">
    <cfRule type="expression" dxfId="11" priority="7">
      <formula>VLOOKUP(DAY(C3),AssignmentDays,1,FALSE)=DAY(C3)</formula>
    </cfRule>
  </conditionalFormatting>
  <conditionalFormatting sqref="B13:I13 B15:I15 B17:I17 B19:I19 B21:I21 B23:I23 B25:I25 B27:I27 B29:I29 B31:I31">
    <cfRule type="expression" dxfId="10" priority="4">
      <formula>B13&lt;&gt;""</formula>
    </cfRule>
  </conditionalFormatting>
  <conditionalFormatting sqref="B12:I12 B14:I14 B16:I16 B18:I18 B20:I20 B22:I22 B24:I24 B26:I26 B28:I28 B30:I30">
    <cfRule type="expression" dxfId="9" priority="3">
      <formula>B12&lt;&gt;""</formula>
    </cfRule>
  </conditionalFormatting>
  <conditionalFormatting sqref="B13:I13 B15:I15 B17:I17 B19:I19 B21:I21 B23:I23 B25:I25 B27:I27 B29:I29">
    <cfRule type="expression" dxfId="8" priority="2">
      <formula>COLUMN(B13)&gt;=2</formula>
    </cfRule>
  </conditionalFormatting>
  <conditionalFormatting sqref="B12:I31">
    <cfRule type="expression" dxfId="7" priority="1">
      <formula>COLUMN(B12)&gt;2</formula>
    </cfRule>
  </conditionalFormatting>
  <dataValidations xWindow="136" yWindow="382" count="13">
    <dataValidation allowBlank="1" showInputMessage="1" showErrorMessage="1" prompt="Escriba la clase en esta fila, de la columna B a la I." sqref="B13" xr:uid="{00000000-0002-0000-0A00-000000000000}"/>
    <dataValidation allowBlank="1" showInputMessage="1" showErrorMessage="1" prompt="Escriba la hora en esta fila, de la columna B a la I." sqref="B12" xr:uid="{00000000-0002-0000-0A00-000001000000}"/>
    <dataValidation allowBlank="1" showInputMessage="1" showErrorMessage="1" prompt="Si esta fila contiene un número menor que el número o la fila de números anterior, en ese caso, esta fila contiene fechas para el próximo mes del calendario." sqref="C8" xr:uid="{00000000-0002-0000-0A00-000002000000}"/>
    <dataValidation allowBlank="1" showInputMessage="1" showErrorMessage="1" prompt="Si esta celda no contiene el número 1, se trata de un día del mes anterior. Las celdas C3 a I8 contienen fechas para el mes actual." sqref="C3" xr:uid="{00000000-0002-0000-0A00-000003000000}"/>
    <dataValidation allowBlank="1" showInputMessage="1" showErrorMessage="1" prompt="Las celdas C2 a I2 contienen días de la semana." sqref="C2" xr:uid="{00000000-0002-0000-0A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A00-000005000000}"/>
    <dataValidation allowBlank="1" showInputMessage="1" showErrorMessage="1" prompt="El año se actualiza automáticamente. Para cambiar el año, actualice la celda B1 en la hoja de cálculo de Ene." sqref="B1" xr:uid="{00000000-0002-0000-0A00-000006000000}"/>
    <dataValidation allowBlank="1" showInputMessage="1" showErrorMessage="1" prompt="El calendario de noviembre resalta automáticamente las entradas de la lista de tareas para el mes. Las fuentes más oscuras indican tareas. Las fuentes más claras indican días que pertenecen al mes anterior o siguiente." sqref="B2" xr:uid="{00000000-0002-0000-0A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A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A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A00-00000A000000}"/>
    <dataValidation allowBlank="1" showInputMessage="1" showErrorMessage="1" prompt="Los días de la semana se encuentran en esta fila, del lunes al viernes." sqref="B11" xr:uid="{00000000-0002-0000-0A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A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28</v>
      </c>
      <c r="C2" s="7" t="s">
        <v>29</v>
      </c>
      <c r="D2" s="7" t="s">
        <v>30</v>
      </c>
      <c r="E2" s="7" t="s">
        <v>31</v>
      </c>
      <c r="F2" s="7" t="s">
        <v>32</v>
      </c>
      <c r="G2" s="7" t="s">
        <v>33</v>
      </c>
      <c r="H2" s="7" t="s">
        <v>34</v>
      </c>
      <c r="I2" s="7" t="s">
        <v>35</v>
      </c>
      <c r="J2" s="10" t="s">
        <v>29</v>
      </c>
      <c r="K2" s="42"/>
      <c r="L2" s="49"/>
    </row>
    <row r="3" spans="1:12" ht="30" customHeight="1" x14ac:dyDescent="0.25">
      <c r="A3" s="13"/>
      <c r="C3" s="6">
        <f ca="1">IF(DAY(DecDom1)=1,DecDom1-6,DecDom1+1)</f>
        <v>43430</v>
      </c>
      <c r="D3" s="6">
        <f ca="1">IF(DAY(DecDom1)=1,DecDom1-5,DecDom1+2)</f>
        <v>43431</v>
      </c>
      <c r="E3" s="6">
        <f ca="1">IF(DAY(DecDom1)=1,DecDom1-4,DecDom1+3)</f>
        <v>43432</v>
      </c>
      <c r="F3" s="6">
        <f ca="1">IF(DAY(DecDom1)=1,DecDom1-3,DecDom1+4)</f>
        <v>43433</v>
      </c>
      <c r="G3" s="6">
        <f ca="1">IF(DAY(DecDom1)=1,DecDom1-2,DecDom1+5)</f>
        <v>43434</v>
      </c>
      <c r="H3" s="6">
        <f ca="1">IF(DAY(DecDom1)=1,DecDom1-1,DecDom1+6)</f>
        <v>43435</v>
      </c>
      <c r="I3" s="6">
        <f ca="1">IF(DAY(DecDom1)=1,DecDom1,DecDom1+7)</f>
        <v>43436</v>
      </c>
      <c r="J3" s="10"/>
      <c r="K3" s="36"/>
      <c r="L3" s="49"/>
    </row>
    <row r="4" spans="1:12" ht="30" customHeight="1" x14ac:dyDescent="0.25">
      <c r="A4" s="13"/>
      <c r="C4" s="6">
        <f ca="1">IF(DAY(DecDom1)=1,DecDom1+1,DecDom1+8)</f>
        <v>43437</v>
      </c>
      <c r="D4" s="6">
        <f ca="1">IF(DAY(DecDom1)=1,DecDom1+2,DecDom1+9)</f>
        <v>43438</v>
      </c>
      <c r="E4" s="6">
        <f ca="1">IF(DAY(DecDom1)=1,DecDom1+3,DecDom1+10)</f>
        <v>43439</v>
      </c>
      <c r="F4" s="6">
        <f ca="1">IF(DAY(DecDom1)=1,DecDom1+4,DecDom1+11)</f>
        <v>43440</v>
      </c>
      <c r="G4" s="6">
        <f ca="1">IF(DAY(DecDom1)=1,DecDom1+5,DecDom1+12)</f>
        <v>43441</v>
      </c>
      <c r="H4" s="6">
        <f ca="1">IF(DAY(DecDom1)=1,DecDom1+6,DecDom1+13)</f>
        <v>43442</v>
      </c>
      <c r="I4" s="6">
        <f ca="1">IF(DAY(DecDom1)=1,DecDom1+7,DecDom1+14)</f>
        <v>43443</v>
      </c>
      <c r="J4" s="10"/>
      <c r="K4" s="36"/>
      <c r="L4" s="49"/>
    </row>
    <row r="5" spans="1:12" ht="30" customHeight="1" x14ac:dyDescent="0.25">
      <c r="A5" s="13"/>
      <c r="C5" s="6">
        <f ca="1">IF(DAY(DecDom1)=1,DecDom1+8,DecDom1+15)</f>
        <v>43444</v>
      </c>
      <c r="D5" s="6">
        <f ca="1">IF(DAY(DecDom1)=1,DecDom1+9,DecDom1+16)</f>
        <v>43445</v>
      </c>
      <c r="E5" s="6">
        <f ca="1">IF(DAY(DecDom1)=1,DecDom1+10,DecDom1+17)</f>
        <v>43446</v>
      </c>
      <c r="F5" s="6">
        <f ca="1">IF(DAY(DecDom1)=1,DecDom1+11,DecDom1+18)</f>
        <v>43447</v>
      </c>
      <c r="G5" s="6">
        <f ca="1">IF(DAY(DecDom1)=1,DecDom1+12,DecDom1+19)</f>
        <v>43448</v>
      </c>
      <c r="H5" s="6">
        <f ca="1">IF(DAY(DecDom1)=1,DecDom1+13,DecDom1+20)</f>
        <v>43449</v>
      </c>
      <c r="I5" s="6">
        <f ca="1">IF(DAY(DecDom1)=1,DecDom1+14,DecDom1+21)</f>
        <v>43450</v>
      </c>
      <c r="J5" s="10"/>
      <c r="K5" s="36"/>
      <c r="L5" s="49"/>
    </row>
    <row r="6" spans="1:12" ht="30" customHeight="1" x14ac:dyDescent="0.25">
      <c r="A6" s="13"/>
      <c r="C6" s="6">
        <f ca="1">IF(DAY(DecDom1)=1,DecDom1+15,DecDom1+22)</f>
        <v>43451</v>
      </c>
      <c r="D6" s="6">
        <f ca="1">IF(DAY(DecDom1)=1,DecDom1+16,DecDom1+23)</f>
        <v>43452</v>
      </c>
      <c r="E6" s="6">
        <f ca="1">IF(DAY(DecDom1)=1,DecDom1+17,DecDom1+24)</f>
        <v>43453</v>
      </c>
      <c r="F6" s="6">
        <f ca="1">IF(DAY(DecDom1)=1,DecDom1+18,DecDom1+25)</f>
        <v>43454</v>
      </c>
      <c r="G6" s="6">
        <f ca="1">IF(DAY(DecDom1)=1,DecDom1+19,DecDom1+26)</f>
        <v>43455</v>
      </c>
      <c r="H6" s="6">
        <f ca="1">IF(DAY(DecDom1)=1,DecDom1+20,DecDom1+27)</f>
        <v>43456</v>
      </c>
      <c r="I6" s="6">
        <f ca="1">IF(DAY(DecDom1)=1,DecDom1+21,DecDom1+28)</f>
        <v>43457</v>
      </c>
      <c r="J6" s="10"/>
      <c r="K6" s="36"/>
      <c r="L6" s="49"/>
    </row>
    <row r="7" spans="1:12" ht="30" customHeight="1" x14ac:dyDescent="0.25">
      <c r="A7" s="13"/>
      <c r="C7" s="6">
        <f ca="1">IF(DAY(DecDom1)=1,DecDom1+22,DecDom1+29)</f>
        <v>43458</v>
      </c>
      <c r="D7" s="6">
        <f ca="1">IF(DAY(DecDom1)=1,DecDom1+23,DecDom1+30)</f>
        <v>43459</v>
      </c>
      <c r="E7" s="6">
        <f ca="1">IF(DAY(DecDom1)=1,DecDom1+24,DecDom1+31)</f>
        <v>43460</v>
      </c>
      <c r="F7" s="6">
        <f ca="1">IF(DAY(DecDom1)=1,DecDom1+25,DecDom1+32)</f>
        <v>43461</v>
      </c>
      <c r="G7" s="6">
        <f ca="1">IF(DAY(DecDom1)=1,DecDom1+26,DecDom1+33)</f>
        <v>43462</v>
      </c>
      <c r="H7" s="6">
        <f ca="1">IF(DAY(DecDom1)=1,DecDom1+27,DecDom1+34)</f>
        <v>43463</v>
      </c>
      <c r="I7" s="6">
        <f ca="1">IF(DAY(DecDom1)=1,DecDom1+28,DecDom1+35)</f>
        <v>43464</v>
      </c>
      <c r="J7" s="20"/>
      <c r="K7" s="35"/>
      <c r="L7" s="18"/>
    </row>
    <row r="8" spans="1:12" ht="30" customHeight="1" x14ac:dyDescent="0.25">
      <c r="A8" s="13"/>
      <c r="B8" s="18"/>
      <c r="C8" s="6">
        <f ca="1">IF(DAY(DecDom1)=1,DecDom1+29,DecDom1+36)</f>
        <v>43465</v>
      </c>
      <c r="D8" s="6">
        <f ca="1">IF(DAY(DecDom1)=1,DecDom1+30,DecDom1+37)</f>
        <v>43466</v>
      </c>
      <c r="E8" s="6">
        <f ca="1">IF(DAY(DecDom1)=1,DecDom1+31,DecDom1+38)</f>
        <v>43467</v>
      </c>
      <c r="F8" s="6">
        <f ca="1">IF(DAY(DecDom1)=1,DecDom1+32,DecDom1+39)</f>
        <v>43468</v>
      </c>
      <c r="G8" s="6">
        <f ca="1">IF(DAY(DecDom1)=1,DecDom1+33,DecDom1+40)</f>
        <v>43469</v>
      </c>
      <c r="H8" s="6">
        <f ca="1">IF(DAY(DecDom1)=1,DecDom1+34,DecDom1+41)</f>
        <v>43470</v>
      </c>
      <c r="I8" s="6">
        <f ca="1">IF(DAY(DecDom1)=1,DecDom1+35,DecDom1+42)</f>
        <v>43471</v>
      </c>
      <c r="J8" s="10" t="s">
        <v>30</v>
      </c>
      <c r="K8" s="36"/>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5" t="s">
        <v>30</v>
      </c>
      <c r="D11" s="66"/>
      <c r="E11" s="65" t="s">
        <v>31</v>
      </c>
      <c r="F11" s="66"/>
      <c r="G11" s="65" t="s">
        <v>32</v>
      </c>
      <c r="H11" s="66"/>
      <c r="I11" s="3" t="s">
        <v>33</v>
      </c>
      <c r="J11" s="10"/>
      <c r="K11" s="36"/>
      <c r="L11" s="49"/>
    </row>
    <row r="12" spans="1:12" ht="30" customHeight="1" x14ac:dyDescent="0.25">
      <c r="A12" s="26" t="s">
        <v>1</v>
      </c>
      <c r="B12" s="21">
        <v>0.33333333333333331</v>
      </c>
      <c r="C12" s="72"/>
      <c r="D12" s="72"/>
      <c r="E12" s="72">
        <v>0.33333333333333331</v>
      </c>
      <c r="F12" s="72"/>
      <c r="G12" s="72"/>
      <c r="H12" s="72"/>
      <c r="I12" s="22">
        <v>0.33333333333333331</v>
      </c>
      <c r="J12" s="10"/>
      <c r="K12" s="36"/>
      <c r="L12" s="49"/>
    </row>
    <row r="13" spans="1:12" ht="30" customHeight="1" x14ac:dyDescent="0.25">
      <c r="A13" s="26" t="s">
        <v>2</v>
      </c>
      <c r="B13" s="27" t="s">
        <v>5</v>
      </c>
      <c r="C13" s="67"/>
      <c r="D13" s="67"/>
      <c r="E13" s="67" t="s">
        <v>5</v>
      </c>
      <c r="F13" s="67"/>
      <c r="G13" s="67"/>
      <c r="H13" s="67"/>
      <c r="I13" s="30" t="s">
        <v>5</v>
      </c>
      <c r="J13" s="20"/>
      <c r="K13" s="35"/>
      <c r="L13" s="18"/>
    </row>
    <row r="14" spans="1:12" ht="30" customHeight="1" x14ac:dyDescent="0.25">
      <c r="A14" s="26" t="s">
        <v>1</v>
      </c>
      <c r="B14" s="21"/>
      <c r="C14" s="72">
        <v>0.375</v>
      </c>
      <c r="D14" s="72"/>
      <c r="E14" s="72"/>
      <c r="F14" s="72"/>
      <c r="G14" s="72">
        <v>0.375</v>
      </c>
      <c r="H14" s="72"/>
      <c r="I14" s="22"/>
      <c r="J14" s="10" t="s">
        <v>31</v>
      </c>
      <c r="K14" s="36"/>
      <c r="L14" s="49"/>
    </row>
    <row r="15" spans="1:12" ht="30" customHeight="1" x14ac:dyDescent="0.25">
      <c r="A15" s="26" t="s">
        <v>2</v>
      </c>
      <c r="B15" s="27"/>
      <c r="C15" s="67" t="s">
        <v>11</v>
      </c>
      <c r="D15" s="67"/>
      <c r="E15" s="67"/>
      <c r="F15" s="67"/>
      <c r="G15" s="67" t="s">
        <v>11</v>
      </c>
      <c r="H15" s="67"/>
      <c r="I15" s="30"/>
      <c r="J15" s="10"/>
      <c r="K15" s="36"/>
      <c r="L15" s="49"/>
    </row>
    <row r="16" spans="1:12" ht="30" customHeight="1" x14ac:dyDescent="0.25">
      <c r="A16" s="26" t="s">
        <v>1</v>
      </c>
      <c r="B16" s="21" t="s">
        <v>6</v>
      </c>
      <c r="C16" s="72"/>
      <c r="D16" s="72"/>
      <c r="E16" s="72" t="s">
        <v>6</v>
      </c>
      <c r="F16" s="72"/>
      <c r="G16" s="72"/>
      <c r="H16" s="72"/>
      <c r="I16" s="24" t="s">
        <v>6</v>
      </c>
      <c r="J16" s="10"/>
      <c r="K16" s="36"/>
      <c r="L16" s="49"/>
    </row>
    <row r="17" spans="1:12" ht="30" customHeight="1" x14ac:dyDescent="0.25">
      <c r="A17" s="26" t="s">
        <v>2</v>
      </c>
      <c r="B17" s="27" t="s">
        <v>7</v>
      </c>
      <c r="C17" s="67"/>
      <c r="D17" s="67"/>
      <c r="E17" s="67" t="s">
        <v>7</v>
      </c>
      <c r="F17" s="67"/>
      <c r="G17" s="67"/>
      <c r="H17" s="67"/>
      <c r="I17" s="30" t="s">
        <v>7</v>
      </c>
      <c r="J17" s="10"/>
      <c r="K17" s="36"/>
      <c r="L17" s="49"/>
    </row>
    <row r="18" spans="1:12" ht="30" customHeight="1" x14ac:dyDescent="0.25">
      <c r="A18" s="26" t="s">
        <v>1</v>
      </c>
      <c r="B18" s="21"/>
      <c r="C18" s="72"/>
      <c r="D18" s="72"/>
      <c r="E18" s="72"/>
      <c r="F18" s="72"/>
      <c r="G18" s="72"/>
      <c r="H18" s="72"/>
      <c r="I18" s="22"/>
      <c r="J18" s="10"/>
      <c r="K18" s="36"/>
      <c r="L18" s="49"/>
    </row>
    <row r="19" spans="1:12" ht="30" customHeight="1" x14ac:dyDescent="0.25">
      <c r="A19" s="26" t="s">
        <v>2</v>
      </c>
      <c r="B19" s="27"/>
      <c r="C19" s="67"/>
      <c r="D19" s="67"/>
      <c r="E19" s="67"/>
      <c r="F19" s="67"/>
      <c r="G19" s="67"/>
      <c r="H19" s="67"/>
      <c r="I19" s="47"/>
      <c r="J19" s="20"/>
      <c r="K19" s="35"/>
      <c r="L19" s="18"/>
    </row>
    <row r="20" spans="1:12" ht="30" customHeight="1" x14ac:dyDescent="0.25">
      <c r="A20" s="26" t="s">
        <v>1</v>
      </c>
      <c r="B20" s="21"/>
      <c r="C20" s="72"/>
      <c r="D20" s="72"/>
      <c r="E20" s="72"/>
      <c r="F20" s="72"/>
      <c r="G20" s="72"/>
      <c r="H20" s="72"/>
      <c r="I20" s="22"/>
      <c r="J20" s="10" t="s">
        <v>32</v>
      </c>
      <c r="K20" s="36"/>
      <c r="L20" s="49"/>
    </row>
    <row r="21" spans="1:12" ht="30" customHeight="1" x14ac:dyDescent="0.25">
      <c r="A21" s="26" t="s">
        <v>2</v>
      </c>
      <c r="B21" s="27"/>
      <c r="C21" s="67"/>
      <c r="D21" s="67"/>
      <c r="E21" s="67"/>
      <c r="F21" s="67"/>
      <c r="G21" s="67"/>
      <c r="H21" s="67"/>
      <c r="I21" s="30"/>
      <c r="J21" s="10"/>
      <c r="K21" s="36"/>
      <c r="L21" s="49"/>
    </row>
    <row r="22" spans="1:12" ht="30" customHeight="1" x14ac:dyDescent="0.25">
      <c r="A22" s="26" t="s">
        <v>1</v>
      </c>
      <c r="B22" s="21"/>
      <c r="C22" s="72"/>
      <c r="D22" s="72"/>
      <c r="E22" s="72"/>
      <c r="F22" s="72"/>
      <c r="G22" s="72"/>
      <c r="H22" s="72"/>
      <c r="I22" s="22"/>
      <c r="J22" s="10"/>
      <c r="K22" s="36"/>
      <c r="L22" s="49"/>
    </row>
    <row r="23" spans="1:12" ht="30" customHeight="1" x14ac:dyDescent="0.25">
      <c r="A23" s="26" t="s">
        <v>2</v>
      </c>
      <c r="B23" s="27"/>
      <c r="C23" s="67"/>
      <c r="D23" s="67"/>
      <c r="E23" s="67"/>
      <c r="F23" s="67"/>
      <c r="G23" s="67"/>
      <c r="H23" s="67"/>
      <c r="I23" s="30"/>
      <c r="J23" s="10"/>
      <c r="K23" s="36"/>
      <c r="L23" s="49"/>
    </row>
    <row r="24" spans="1:12" ht="30" customHeight="1" x14ac:dyDescent="0.25">
      <c r="A24" s="26" t="s">
        <v>1</v>
      </c>
      <c r="B24" s="21" t="s">
        <v>8</v>
      </c>
      <c r="C24" s="72"/>
      <c r="D24" s="72"/>
      <c r="E24" s="72" t="s">
        <v>8</v>
      </c>
      <c r="F24" s="72"/>
      <c r="G24" s="72"/>
      <c r="H24" s="72"/>
      <c r="I24" s="22" t="s">
        <v>8</v>
      </c>
      <c r="J24" s="10"/>
      <c r="K24" s="36"/>
      <c r="L24" s="49"/>
    </row>
    <row r="25" spans="1:12" ht="30" customHeight="1" x14ac:dyDescent="0.25">
      <c r="A25" s="26" t="s">
        <v>2</v>
      </c>
      <c r="B25" s="27" t="s">
        <v>9</v>
      </c>
      <c r="C25" s="67"/>
      <c r="D25" s="67"/>
      <c r="E25" s="67" t="s">
        <v>9</v>
      </c>
      <c r="F25" s="67"/>
      <c r="G25" s="67"/>
      <c r="H25" s="67"/>
      <c r="I25" s="30" t="s">
        <v>9</v>
      </c>
      <c r="J25" s="20"/>
      <c r="K25" s="35"/>
      <c r="L25" s="18"/>
    </row>
    <row r="26" spans="1:12" ht="30" customHeight="1" x14ac:dyDescent="0.25">
      <c r="A26" s="26" t="s">
        <v>1</v>
      </c>
      <c r="B26" s="21"/>
      <c r="C26" s="72"/>
      <c r="D26" s="72"/>
      <c r="E26" s="72"/>
      <c r="F26" s="72"/>
      <c r="G26" s="72"/>
      <c r="H26" s="72"/>
      <c r="I26" s="22"/>
      <c r="J26" s="32" t="s">
        <v>33</v>
      </c>
      <c r="K26" s="37"/>
      <c r="L26" s="57"/>
    </row>
    <row r="27" spans="1:12" ht="30" customHeight="1" x14ac:dyDescent="0.25">
      <c r="A27" s="26" t="s">
        <v>2</v>
      </c>
      <c r="B27" s="27"/>
      <c r="C27" s="67"/>
      <c r="D27" s="67"/>
      <c r="E27" s="67"/>
      <c r="F27" s="67"/>
      <c r="G27" s="67"/>
      <c r="H27" s="67"/>
      <c r="I27" s="30"/>
      <c r="J27" s="45"/>
      <c r="K27" s="42"/>
      <c r="L27" s="58"/>
    </row>
    <row r="28" spans="1:12" ht="30" customHeight="1" x14ac:dyDescent="0.25">
      <c r="A28" s="26" t="s">
        <v>1</v>
      </c>
      <c r="B28" s="21"/>
      <c r="C28" s="72" t="s">
        <v>12</v>
      </c>
      <c r="D28" s="72"/>
      <c r="E28" s="72"/>
      <c r="F28" s="72"/>
      <c r="G28" s="72" t="s">
        <v>12</v>
      </c>
      <c r="H28" s="72"/>
      <c r="I28" s="22"/>
      <c r="J28" s="45"/>
      <c r="K28" s="42"/>
      <c r="L28" s="58"/>
    </row>
    <row r="29" spans="1:12" ht="30" customHeight="1" x14ac:dyDescent="0.25">
      <c r="A29" s="26" t="s">
        <v>2</v>
      </c>
      <c r="B29" s="27"/>
      <c r="C29" s="67" t="s">
        <v>13</v>
      </c>
      <c r="D29" s="67"/>
      <c r="E29" s="67"/>
      <c r="F29" s="67"/>
      <c r="G29" s="67" t="s">
        <v>13</v>
      </c>
      <c r="H29" s="67"/>
      <c r="I29" s="30"/>
      <c r="J29" s="45"/>
      <c r="K29" s="42"/>
      <c r="L29" s="58"/>
    </row>
    <row r="30" spans="1:12" ht="30" customHeight="1" x14ac:dyDescent="0.25">
      <c r="A30" s="26" t="s">
        <v>1</v>
      </c>
      <c r="B30" s="21"/>
      <c r="C30" s="72"/>
      <c r="D30" s="72"/>
      <c r="E30" s="72"/>
      <c r="F30" s="72"/>
      <c r="G30" s="72"/>
      <c r="H30" s="72"/>
      <c r="I30" s="22"/>
      <c r="J30" s="45"/>
      <c r="K30" s="42"/>
      <c r="L30" s="58"/>
    </row>
    <row r="31" spans="1:12" ht="30" customHeight="1" x14ac:dyDescent="0.25">
      <c r="A31" s="26" t="s">
        <v>2</v>
      </c>
      <c r="B31" s="28"/>
      <c r="C31" s="69"/>
      <c r="D31" s="69"/>
      <c r="E31" s="69"/>
      <c r="F31" s="69"/>
      <c r="G31" s="69"/>
      <c r="H31" s="69"/>
      <c r="I31" s="29"/>
      <c r="J31" s="45"/>
      <c r="K31" s="42"/>
      <c r="L31" s="58"/>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6" priority="6" stopIfTrue="1">
      <formula>DAY(C3)&gt;8</formula>
    </cfRule>
  </conditionalFormatting>
  <conditionalFormatting sqref="C7:I8">
    <cfRule type="expression" dxfId="5" priority="5" stopIfTrue="1">
      <formula>AND(DAY(C7)&gt;=1,DAY(C7)&lt;=15)</formula>
    </cfRule>
  </conditionalFormatting>
  <conditionalFormatting sqref="C3:I8">
    <cfRule type="expression" dxfId="4" priority="7">
      <formula>VLOOKUP(DAY(C3),AssignmentDays,1,FALSE)=DAY(C3)</formula>
    </cfRule>
  </conditionalFormatting>
  <conditionalFormatting sqref="B13:I13 B15:I15 B17:I17 B19:I19 B21:I21 B23:I23 B25:I25 B27:I27 B29:I29 B31:I31">
    <cfRule type="expression" dxfId="3" priority="4">
      <formula>B13&lt;&gt;""</formula>
    </cfRule>
  </conditionalFormatting>
  <conditionalFormatting sqref="B12:I12 B14:I14 B16:I16 B18:I18 B20:I20 B22:I22 B24:I24 B26:I26 B28:I28 B30:I30">
    <cfRule type="expression" dxfId="2" priority="3">
      <formula>B12&lt;&gt;""</formula>
    </cfRule>
  </conditionalFormatting>
  <conditionalFormatting sqref="B13:I13 B15:I15 B17:I17 B19:I19 B21:I21 B23:I23 B25:I25 B27:I27 B29:I29">
    <cfRule type="expression" dxfId="1" priority="2">
      <formula>COLUMN(B13)&gt;=2</formula>
    </cfRule>
  </conditionalFormatting>
  <conditionalFormatting sqref="B12:I31">
    <cfRule type="expression" dxfId="0" priority="1">
      <formula>COLUMN(B12)&gt;2</formula>
    </cfRule>
  </conditionalFormatting>
  <dataValidations xWindow="282" yWindow="695" count="13">
    <dataValidation allowBlank="1" showInputMessage="1" showErrorMessage="1" prompt="El calendario de diciembre resalta automáticamente las entradas de la lista de tareas para el mes. Las fuentes más oscuras indican tareas. Las fuentes más claras indican días que pertenecen al mes anterior o siguiente." sqref="B2" xr:uid="{00000000-0002-0000-0B00-000000000000}"/>
    <dataValidation allowBlank="1" showInputMessage="1" showErrorMessage="1" prompt="El año se actualiza automáticamente. Para cambiar el año, actualice la celda B1 en la hoja de cálculo de Ene." sqref="B1" xr:uid="{00000000-0002-0000-0B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B00-000002000000}"/>
    <dataValidation allowBlank="1" showInputMessage="1" showErrorMessage="1" prompt="Las celdas C2 a I2 contienen días de la semana." sqref="C2" xr:uid="{00000000-0002-0000-0B00-000003000000}"/>
    <dataValidation allowBlank="1" showInputMessage="1" showErrorMessage="1" prompt="Si esta celda no contiene el número 1, se trata de un día del mes anterior. Las celdas C3 a I8 contienen fechas para el mes actual." sqref="C3" xr:uid="{00000000-0002-0000-0B00-000004000000}"/>
    <dataValidation allowBlank="1" showInputMessage="1" showErrorMessage="1" prompt="Si esta fila contiene un número menor que el número o la fila de números anterior, en ese caso, esta fila contiene fechas para el próximo mes del calendario." sqref="C8" xr:uid="{00000000-0002-0000-0B00-000005000000}"/>
    <dataValidation allowBlank="1" showInputMessage="1" showErrorMessage="1" prompt="Escriba la hora en esta fila, de la columna B a la I." sqref="B12" xr:uid="{00000000-0002-0000-0B00-000006000000}"/>
    <dataValidation allowBlank="1" showInputMessage="1" showErrorMessage="1" prompt="Escriba la clase en esta fila, de la columna B a la I." sqref="B13" xr:uid="{00000000-0002-0000-0B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B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B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B00-00000A000000}"/>
    <dataValidation allowBlank="1" showInputMessage="1" showErrorMessage="1" prompt="Los días de la semana se encuentran en esta fila, del lunes al viernes." sqref="B11" xr:uid="{00000000-0002-0000-0B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B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 customWidth="1"/>
    <col min="11" max="11" width="10.625"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18</v>
      </c>
      <c r="C2" s="7" t="s">
        <v>29</v>
      </c>
      <c r="D2" s="7" t="s">
        <v>30</v>
      </c>
      <c r="E2" s="7" t="s">
        <v>31</v>
      </c>
      <c r="F2" s="7" t="s">
        <v>32</v>
      </c>
      <c r="G2" s="7" t="s">
        <v>33</v>
      </c>
      <c r="H2" s="7" t="s">
        <v>34</v>
      </c>
      <c r="I2" s="7" t="s">
        <v>35</v>
      </c>
      <c r="J2" s="10" t="s">
        <v>29</v>
      </c>
      <c r="K2" s="42"/>
      <c r="L2" s="49"/>
    </row>
    <row r="3" spans="1:12" ht="30" customHeight="1" x14ac:dyDescent="0.25">
      <c r="A3" s="13"/>
      <c r="C3" s="6">
        <f ca="1">IF(DAY(FebDom1)=1,FebDom1-6,FebDom1+1)</f>
        <v>43129</v>
      </c>
      <c r="D3" s="6">
        <f ca="1">IF(DAY(FebDom1)=1,FebDom1-5,FebDom1+2)</f>
        <v>43130</v>
      </c>
      <c r="E3" s="6">
        <f ca="1">IF(DAY(FebDom1)=1,FebDom1-4,FebDom1+3)</f>
        <v>43131</v>
      </c>
      <c r="F3" s="6">
        <f ca="1">IF(DAY(FebDom1)=1,FebDom1-3,FebDom1+4)</f>
        <v>43132</v>
      </c>
      <c r="G3" s="6">
        <f ca="1">IF(DAY(FebDom1)=1,FebDom1-2,FebDom1+5)</f>
        <v>43133</v>
      </c>
      <c r="H3" s="6">
        <f ca="1">IF(DAY(FebDom1)=1,FebDom1-1,FebDom1+6)</f>
        <v>43134</v>
      </c>
      <c r="I3" s="6">
        <f ca="1">IF(DAY(FebDom1)=1,FebDom1,FebDom1+7)</f>
        <v>43135</v>
      </c>
      <c r="J3" s="10"/>
      <c r="K3" s="36"/>
      <c r="L3" s="49"/>
    </row>
    <row r="4" spans="1:12" ht="30" customHeight="1" x14ac:dyDescent="0.25">
      <c r="A4" s="13"/>
      <c r="C4" s="6">
        <f ca="1">IF(DAY(FebDom1)=1,FebDom1+1,FebDom1+8)</f>
        <v>43136</v>
      </c>
      <c r="D4" s="6">
        <f ca="1">IF(DAY(FebDom1)=1,FebDom1+2,FebDom1+9)</f>
        <v>43137</v>
      </c>
      <c r="E4" s="6">
        <f ca="1">IF(DAY(FebDom1)=1,FebDom1+3,FebDom1+10)</f>
        <v>43138</v>
      </c>
      <c r="F4" s="6">
        <f ca="1">IF(DAY(FebDom1)=1,FebDom1+4,FebDom1+11)</f>
        <v>43139</v>
      </c>
      <c r="G4" s="6">
        <f ca="1">IF(DAY(FebDom1)=1,FebDom1+5,FebDom1+12)</f>
        <v>43140</v>
      </c>
      <c r="H4" s="6">
        <f ca="1">IF(DAY(FebDom1)=1,FebDom1+6,FebDom1+13)</f>
        <v>43141</v>
      </c>
      <c r="I4" s="6">
        <f ca="1">IF(DAY(FebDom1)=1,FebDom1+7,FebDom1+14)</f>
        <v>43142</v>
      </c>
      <c r="J4" s="10"/>
      <c r="K4" s="36"/>
      <c r="L4" s="49"/>
    </row>
    <row r="5" spans="1:12" ht="30" customHeight="1" x14ac:dyDescent="0.25">
      <c r="A5" s="13"/>
      <c r="C5" s="6">
        <f ca="1">IF(DAY(FebDom1)=1,FebDom1+8,FebDom1+15)</f>
        <v>43143</v>
      </c>
      <c r="D5" s="6">
        <f ca="1">IF(DAY(FebDom1)=1,FebDom1+9,FebDom1+16)</f>
        <v>43144</v>
      </c>
      <c r="E5" s="6">
        <f ca="1">IF(DAY(FebDom1)=1,FebDom1+10,FebDom1+17)</f>
        <v>43145</v>
      </c>
      <c r="F5" s="6">
        <f ca="1">IF(DAY(FebDom1)=1,FebDom1+11,FebDom1+18)</f>
        <v>43146</v>
      </c>
      <c r="G5" s="6">
        <f ca="1">IF(DAY(FebDom1)=1,FebDom1+12,FebDom1+19)</f>
        <v>43147</v>
      </c>
      <c r="H5" s="6">
        <f ca="1">IF(DAY(FebDom1)=1,FebDom1+13,FebDom1+20)</f>
        <v>43148</v>
      </c>
      <c r="I5" s="6">
        <f ca="1">IF(DAY(FebDom1)=1,FebDom1+14,FebDom1+21)</f>
        <v>43149</v>
      </c>
      <c r="J5" s="10"/>
      <c r="K5" s="36"/>
      <c r="L5" s="49"/>
    </row>
    <row r="6" spans="1:12" ht="30" customHeight="1" x14ac:dyDescent="0.25">
      <c r="A6" s="13"/>
      <c r="C6" s="6">
        <f ca="1">IF(DAY(FebDom1)=1,FebDom1+15,FebDom1+22)</f>
        <v>43150</v>
      </c>
      <c r="D6" s="6">
        <f ca="1">IF(DAY(FebDom1)=1,FebDom1+16,FebDom1+23)</f>
        <v>43151</v>
      </c>
      <c r="E6" s="6">
        <f ca="1">IF(DAY(FebDom1)=1,FebDom1+17,FebDom1+24)</f>
        <v>43152</v>
      </c>
      <c r="F6" s="6">
        <f ca="1">IF(DAY(FebDom1)=1,FebDom1+18,FebDom1+25)</f>
        <v>43153</v>
      </c>
      <c r="G6" s="6">
        <f ca="1">IF(DAY(FebDom1)=1,FebDom1+19,FebDom1+26)</f>
        <v>43154</v>
      </c>
      <c r="H6" s="6">
        <f ca="1">IF(DAY(FebDom1)=1,FebDom1+20,FebDom1+27)</f>
        <v>43155</v>
      </c>
      <c r="I6" s="6">
        <f ca="1">IF(DAY(FebDom1)=1,FebDom1+21,FebDom1+28)</f>
        <v>43156</v>
      </c>
      <c r="J6" s="10"/>
      <c r="K6" s="36"/>
      <c r="L6" s="49"/>
    </row>
    <row r="7" spans="1:12" ht="30" customHeight="1" x14ac:dyDescent="0.25">
      <c r="A7" s="13"/>
      <c r="C7" s="6">
        <f ca="1">IF(DAY(FebDom1)=1,FebDom1+22,FebDom1+29)</f>
        <v>43157</v>
      </c>
      <c r="D7" s="6">
        <f ca="1">IF(DAY(FebDom1)=1,FebDom1+23,FebDom1+30)</f>
        <v>43158</v>
      </c>
      <c r="E7" s="6">
        <f ca="1">IF(DAY(FebDom1)=1,FebDom1+24,FebDom1+31)</f>
        <v>43159</v>
      </c>
      <c r="F7" s="6">
        <f ca="1">IF(DAY(FebDom1)=1,FebDom1+25,FebDom1+32)</f>
        <v>43160</v>
      </c>
      <c r="G7" s="6">
        <f ca="1">IF(DAY(FebDom1)=1,FebDom1+26,FebDom1+33)</f>
        <v>43161</v>
      </c>
      <c r="H7" s="6">
        <f ca="1">IF(DAY(FebDom1)=1,FebDom1+27,FebDom1+34)</f>
        <v>43162</v>
      </c>
      <c r="I7" s="6">
        <f ca="1">IF(DAY(FebDom1)=1,FebDom1+28,FebDom1+35)</f>
        <v>43163</v>
      </c>
      <c r="J7" s="20"/>
      <c r="K7" s="35"/>
      <c r="L7" s="18"/>
    </row>
    <row r="8" spans="1:12" ht="30" customHeight="1" x14ac:dyDescent="0.25">
      <c r="A8" s="13"/>
      <c r="B8" s="18"/>
      <c r="C8" s="6">
        <f ca="1">IF(DAY(FebDom1)=1,FebDom1+29,FebDom1+36)</f>
        <v>43164</v>
      </c>
      <c r="D8" s="6">
        <f ca="1">IF(DAY(FebDom1)=1,FebDom1+30,FebDom1+37)</f>
        <v>43165</v>
      </c>
      <c r="E8" s="6">
        <f ca="1">IF(DAY(FebDom1)=1,FebDom1+31,FebDom1+38)</f>
        <v>43166</v>
      </c>
      <c r="F8" s="6">
        <f ca="1">IF(DAY(FebDom1)=1,FebDom1+32,FebDom1+39)</f>
        <v>43167</v>
      </c>
      <c r="G8" s="6">
        <f ca="1">IF(DAY(FebDom1)=1,FebDom1+33,FebDom1+40)</f>
        <v>43168</v>
      </c>
      <c r="H8" s="6">
        <f ca="1">IF(DAY(FebDom1)=1,FebDom1+34,FebDom1+41)</f>
        <v>43169</v>
      </c>
      <c r="I8" s="6">
        <f ca="1">IF(DAY(FebDom1)=1,FebDom1+35,FebDom1+42)</f>
        <v>43170</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5" t="s">
        <v>30</v>
      </c>
      <c r="D11" s="66"/>
      <c r="E11" s="65" t="s">
        <v>31</v>
      </c>
      <c r="F11" s="66"/>
      <c r="G11" s="65" t="s">
        <v>32</v>
      </c>
      <c r="H11" s="66"/>
      <c r="I11" s="3" t="s">
        <v>33</v>
      </c>
      <c r="J11" s="10"/>
      <c r="K11" s="36"/>
      <c r="L11" s="49"/>
    </row>
    <row r="12" spans="1:12" ht="30" customHeight="1" x14ac:dyDescent="0.25">
      <c r="A12" s="26" t="s">
        <v>1</v>
      </c>
      <c r="B12" s="21">
        <v>0.33333333333333331</v>
      </c>
      <c r="C12" s="72"/>
      <c r="D12" s="72"/>
      <c r="E12" s="72">
        <v>0.33333333333333331</v>
      </c>
      <c r="F12" s="72"/>
      <c r="G12" s="72"/>
      <c r="H12" s="72"/>
      <c r="I12" s="22">
        <v>0.33333333333333331</v>
      </c>
      <c r="J12" s="10"/>
      <c r="K12" s="36"/>
      <c r="L12" s="49"/>
    </row>
    <row r="13" spans="1:12" ht="30" customHeight="1" x14ac:dyDescent="0.25">
      <c r="A13" s="26" t="s">
        <v>2</v>
      </c>
      <c r="B13" s="27" t="s">
        <v>5</v>
      </c>
      <c r="C13" s="67"/>
      <c r="D13" s="67"/>
      <c r="E13" s="67" t="s">
        <v>5</v>
      </c>
      <c r="F13" s="67"/>
      <c r="G13" s="67"/>
      <c r="H13" s="67"/>
      <c r="I13" s="30" t="s">
        <v>5</v>
      </c>
      <c r="J13" s="20"/>
      <c r="K13" s="35"/>
      <c r="L13" s="18"/>
    </row>
    <row r="14" spans="1:12" ht="30" customHeight="1" x14ac:dyDescent="0.25">
      <c r="A14" s="26" t="s">
        <v>1</v>
      </c>
      <c r="B14" s="21"/>
      <c r="C14" s="73">
        <v>0.375</v>
      </c>
      <c r="D14" s="73"/>
      <c r="E14" s="73"/>
      <c r="F14" s="73"/>
      <c r="G14" s="73">
        <v>0.375</v>
      </c>
      <c r="H14" s="73"/>
      <c r="I14" s="22"/>
      <c r="J14" s="10" t="s">
        <v>31</v>
      </c>
      <c r="K14" s="37"/>
      <c r="L14" s="49"/>
    </row>
    <row r="15" spans="1:12" ht="30" customHeight="1" x14ac:dyDescent="0.25">
      <c r="A15" s="26" t="s">
        <v>2</v>
      </c>
      <c r="B15" s="27"/>
      <c r="C15" s="67" t="s">
        <v>11</v>
      </c>
      <c r="D15" s="67"/>
      <c r="E15" s="67"/>
      <c r="F15" s="67"/>
      <c r="G15" s="67" t="s">
        <v>11</v>
      </c>
      <c r="H15" s="67"/>
      <c r="I15" s="30"/>
      <c r="J15" s="10"/>
      <c r="K15" s="36"/>
      <c r="L15" s="49"/>
    </row>
    <row r="16" spans="1:12" ht="30" customHeight="1" x14ac:dyDescent="0.25">
      <c r="A16" s="26" t="s">
        <v>1</v>
      </c>
      <c r="B16" s="21" t="s">
        <v>6</v>
      </c>
      <c r="C16" s="73"/>
      <c r="D16" s="73"/>
      <c r="E16" s="73" t="s">
        <v>6</v>
      </c>
      <c r="F16" s="73"/>
      <c r="G16" s="73"/>
      <c r="H16" s="73"/>
      <c r="I16" s="24" t="s">
        <v>6</v>
      </c>
      <c r="J16" s="10"/>
      <c r="K16" s="36"/>
      <c r="L16" s="49"/>
    </row>
    <row r="17" spans="1:12" ht="30" customHeight="1" x14ac:dyDescent="0.25">
      <c r="A17" s="26" t="s">
        <v>2</v>
      </c>
      <c r="B17" s="27" t="s">
        <v>7</v>
      </c>
      <c r="C17" s="67"/>
      <c r="D17" s="67"/>
      <c r="E17" s="67" t="s">
        <v>7</v>
      </c>
      <c r="F17" s="67"/>
      <c r="G17" s="67"/>
      <c r="H17" s="67"/>
      <c r="I17" s="30" t="s">
        <v>7</v>
      </c>
      <c r="J17" s="10"/>
      <c r="K17" s="36"/>
      <c r="L17" s="49"/>
    </row>
    <row r="18" spans="1:12" ht="30" customHeight="1" x14ac:dyDescent="0.25">
      <c r="A18" s="26" t="s">
        <v>1</v>
      </c>
      <c r="B18" s="21"/>
      <c r="C18" s="73"/>
      <c r="D18" s="73"/>
      <c r="E18" s="73"/>
      <c r="F18" s="73"/>
      <c r="G18" s="73"/>
      <c r="H18" s="73"/>
      <c r="I18" s="22"/>
      <c r="J18" s="10"/>
      <c r="K18" s="36"/>
      <c r="L18" s="49"/>
    </row>
    <row r="19" spans="1:12" ht="30" customHeight="1" x14ac:dyDescent="0.25">
      <c r="A19" s="26" t="s">
        <v>2</v>
      </c>
      <c r="B19" s="27"/>
      <c r="C19" s="67"/>
      <c r="D19" s="67"/>
      <c r="E19" s="67"/>
      <c r="F19" s="67"/>
      <c r="G19" s="67"/>
      <c r="H19" s="67"/>
      <c r="I19" s="47"/>
      <c r="J19" s="20"/>
      <c r="K19" s="35"/>
      <c r="L19" s="18"/>
    </row>
    <row r="20" spans="1:12" ht="30" customHeight="1" x14ac:dyDescent="0.25">
      <c r="A20" s="26" t="s">
        <v>1</v>
      </c>
      <c r="B20" s="21"/>
      <c r="C20" s="73"/>
      <c r="D20" s="73"/>
      <c r="E20" s="73"/>
      <c r="F20" s="73"/>
      <c r="G20" s="73"/>
      <c r="H20" s="73"/>
      <c r="I20" s="22"/>
      <c r="J20" s="10" t="s">
        <v>32</v>
      </c>
      <c r="K20" s="37"/>
      <c r="L20" s="49"/>
    </row>
    <row r="21" spans="1:12" ht="30" customHeight="1" x14ac:dyDescent="0.25">
      <c r="A21" s="26" t="s">
        <v>2</v>
      </c>
      <c r="B21" s="27"/>
      <c r="C21" s="67"/>
      <c r="D21" s="67"/>
      <c r="E21" s="67"/>
      <c r="F21" s="67"/>
      <c r="G21" s="67"/>
      <c r="H21" s="67"/>
      <c r="I21" s="30"/>
      <c r="J21" s="10"/>
      <c r="K21" s="36"/>
      <c r="L21" s="49"/>
    </row>
    <row r="22" spans="1:12" ht="30" customHeight="1" x14ac:dyDescent="0.25">
      <c r="A22" s="26" t="s">
        <v>1</v>
      </c>
      <c r="B22" s="21"/>
      <c r="C22" s="73"/>
      <c r="D22" s="73"/>
      <c r="E22" s="73"/>
      <c r="F22" s="73"/>
      <c r="G22" s="73"/>
      <c r="H22" s="73"/>
      <c r="I22" s="22"/>
      <c r="J22" s="10"/>
      <c r="K22" s="36"/>
      <c r="L22" s="49"/>
    </row>
    <row r="23" spans="1:12" ht="30" customHeight="1" x14ac:dyDescent="0.25">
      <c r="A23" s="26" t="s">
        <v>2</v>
      </c>
      <c r="B23" s="27"/>
      <c r="C23" s="67"/>
      <c r="D23" s="67"/>
      <c r="E23" s="67"/>
      <c r="F23" s="67"/>
      <c r="G23" s="67"/>
      <c r="H23" s="67"/>
      <c r="I23" s="30"/>
      <c r="J23" s="10"/>
      <c r="K23" s="36"/>
      <c r="L23" s="49"/>
    </row>
    <row r="24" spans="1:12" ht="30" customHeight="1" x14ac:dyDescent="0.25">
      <c r="A24" s="26" t="s">
        <v>1</v>
      </c>
      <c r="B24" s="21" t="s">
        <v>8</v>
      </c>
      <c r="C24" s="73"/>
      <c r="D24" s="73"/>
      <c r="E24" s="73" t="s">
        <v>8</v>
      </c>
      <c r="F24" s="73"/>
      <c r="G24" s="73"/>
      <c r="H24" s="73"/>
      <c r="I24" s="22" t="s">
        <v>8</v>
      </c>
      <c r="J24" s="10"/>
      <c r="K24" s="36"/>
      <c r="L24" s="49"/>
    </row>
    <row r="25" spans="1:12" ht="30" customHeight="1" x14ac:dyDescent="0.25">
      <c r="A25" s="26" t="s">
        <v>2</v>
      </c>
      <c r="B25" s="27" t="s">
        <v>9</v>
      </c>
      <c r="C25" s="67"/>
      <c r="D25" s="67"/>
      <c r="E25" s="67" t="s">
        <v>9</v>
      </c>
      <c r="F25" s="67"/>
      <c r="G25" s="67"/>
      <c r="H25" s="67"/>
      <c r="I25" s="30" t="s">
        <v>9</v>
      </c>
      <c r="J25" s="20"/>
      <c r="K25" s="35"/>
      <c r="L25" s="18"/>
    </row>
    <row r="26" spans="1:12" ht="30" customHeight="1" x14ac:dyDescent="0.25">
      <c r="A26" s="26" t="s">
        <v>1</v>
      </c>
      <c r="B26" s="21"/>
      <c r="C26" s="73"/>
      <c r="D26" s="73"/>
      <c r="E26" s="73"/>
      <c r="F26" s="73"/>
      <c r="G26" s="73"/>
      <c r="H26" s="73"/>
      <c r="I26" s="22"/>
      <c r="J26" s="10" t="s">
        <v>33</v>
      </c>
      <c r="K26" s="37"/>
      <c r="L26" s="49"/>
    </row>
    <row r="27" spans="1:12" ht="30" customHeight="1" x14ac:dyDescent="0.25">
      <c r="A27" s="26" t="s">
        <v>2</v>
      </c>
      <c r="B27" s="27"/>
      <c r="C27" s="67"/>
      <c r="D27" s="67"/>
      <c r="E27" s="67"/>
      <c r="F27" s="67"/>
      <c r="G27" s="67"/>
      <c r="H27" s="67"/>
      <c r="I27" s="30"/>
      <c r="J27" s="10"/>
      <c r="K27" s="36"/>
      <c r="L27" s="49"/>
    </row>
    <row r="28" spans="1:12" ht="30" customHeight="1" x14ac:dyDescent="0.25">
      <c r="A28" s="26" t="s">
        <v>1</v>
      </c>
      <c r="B28" s="21"/>
      <c r="C28" s="73" t="s">
        <v>12</v>
      </c>
      <c r="D28" s="73"/>
      <c r="E28" s="73"/>
      <c r="F28" s="73"/>
      <c r="G28" s="73" t="s">
        <v>12</v>
      </c>
      <c r="H28" s="73"/>
      <c r="I28" s="22"/>
      <c r="J28" s="10"/>
      <c r="K28" s="36"/>
      <c r="L28" s="49"/>
    </row>
    <row r="29" spans="1:12" ht="30" customHeight="1" x14ac:dyDescent="0.25">
      <c r="A29" s="26" t="s">
        <v>2</v>
      </c>
      <c r="B29" s="27"/>
      <c r="C29" s="67" t="s">
        <v>13</v>
      </c>
      <c r="D29" s="67"/>
      <c r="E29" s="67"/>
      <c r="F29" s="67"/>
      <c r="G29" s="67" t="s">
        <v>13</v>
      </c>
      <c r="H29" s="67"/>
      <c r="I29" s="30"/>
      <c r="J29" s="10"/>
      <c r="K29" s="36"/>
      <c r="L29" s="49"/>
    </row>
    <row r="30" spans="1:12" ht="30" customHeight="1" x14ac:dyDescent="0.25">
      <c r="A30" s="26" t="s">
        <v>1</v>
      </c>
      <c r="B30" s="21"/>
      <c r="C30" s="73"/>
      <c r="D30" s="73"/>
      <c r="E30" s="73"/>
      <c r="F30" s="73"/>
      <c r="G30" s="73"/>
      <c r="H30" s="73"/>
      <c r="I30" s="22"/>
      <c r="J30" s="10"/>
      <c r="K30" s="36"/>
      <c r="L30" s="49"/>
    </row>
    <row r="31" spans="1:12" ht="30" customHeight="1" x14ac:dyDescent="0.25">
      <c r="A31" s="26" t="s">
        <v>2</v>
      </c>
      <c r="B31" s="31"/>
      <c r="C31" s="74"/>
      <c r="D31" s="74"/>
      <c r="E31" s="74"/>
      <c r="F31" s="74"/>
      <c r="G31" s="74"/>
      <c r="H31" s="74"/>
      <c r="I31" s="29"/>
      <c r="J31" s="10"/>
      <c r="K31" s="42"/>
      <c r="L31" s="49"/>
    </row>
  </sheetData>
  <mergeCells count="63">
    <mergeCell ref="C31:D31"/>
    <mergeCell ref="E31:F31"/>
    <mergeCell ref="G31:H31"/>
    <mergeCell ref="C29:D29"/>
    <mergeCell ref="E29:F29"/>
    <mergeCell ref="G29:H29"/>
    <mergeCell ref="C30:D30"/>
    <mergeCell ref="E30:F30"/>
    <mergeCell ref="G30:H30"/>
    <mergeCell ref="C28:D28"/>
    <mergeCell ref="E28:F28"/>
    <mergeCell ref="G28:H28"/>
    <mergeCell ref="C26:D26"/>
    <mergeCell ref="E26:F26"/>
    <mergeCell ref="G26:H26"/>
    <mergeCell ref="C27:D27"/>
    <mergeCell ref="E27:F27"/>
    <mergeCell ref="G27:H27"/>
    <mergeCell ref="C24:D24"/>
    <mergeCell ref="E24:F24"/>
    <mergeCell ref="G24:H24"/>
    <mergeCell ref="C25:D25"/>
    <mergeCell ref="E25:F25"/>
    <mergeCell ref="G25:H25"/>
    <mergeCell ref="C22:D22"/>
    <mergeCell ref="E22:F22"/>
    <mergeCell ref="G22:H22"/>
    <mergeCell ref="C23:D23"/>
    <mergeCell ref="E23:F23"/>
    <mergeCell ref="G23:H23"/>
    <mergeCell ref="C21:D21"/>
    <mergeCell ref="E21:F21"/>
    <mergeCell ref="G21:H21"/>
    <mergeCell ref="C19:D19"/>
    <mergeCell ref="E19:F19"/>
    <mergeCell ref="G19:H19"/>
    <mergeCell ref="C20:D20"/>
    <mergeCell ref="E20:F20"/>
    <mergeCell ref="G20:H20"/>
    <mergeCell ref="C17:D17"/>
    <mergeCell ref="E17:F17"/>
    <mergeCell ref="G17:H17"/>
    <mergeCell ref="C18:D18"/>
    <mergeCell ref="E18:F18"/>
    <mergeCell ref="G18:H18"/>
    <mergeCell ref="C13:D13"/>
    <mergeCell ref="E13:F13"/>
    <mergeCell ref="G13:H13"/>
    <mergeCell ref="C16:D16"/>
    <mergeCell ref="E16:F16"/>
    <mergeCell ref="G16:H16"/>
    <mergeCell ref="C14:D14"/>
    <mergeCell ref="E14:F14"/>
    <mergeCell ref="G14:H14"/>
    <mergeCell ref="C15:D15"/>
    <mergeCell ref="E15:F15"/>
    <mergeCell ref="G15:H15"/>
    <mergeCell ref="C11:D11"/>
    <mergeCell ref="E11:F11"/>
    <mergeCell ref="G11:H11"/>
    <mergeCell ref="C12:D12"/>
    <mergeCell ref="E12:F12"/>
    <mergeCell ref="G12:H12"/>
  </mergeCells>
  <conditionalFormatting sqref="C3:H3">
    <cfRule type="expression" dxfId="78" priority="9" stopIfTrue="1">
      <formula>DAY(C3)&gt;8</formula>
    </cfRule>
  </conditionalFormatting>
  <conditionalFormatting sqref="C7:I8">
    <cfRule type="expression" dxfId="77" priority="8" stopIfTrue="1">
      <formula>AND(DAY(C7)&gt;=1,DAY(C7)&lt;=15)</formula>
    </cfRule>
  </conditionalFormatting>
  <conditionalFormatting sqref="C3:I8">
    <cfRule type="expression" dxfId="76" priority="10">
      <formula>VLOOKUP(DAY(C3),AssignmentDays,1,FALSE)=DAY(C3)</formula>
    </cfRule>
  </conditionalFormatting>
  <conditionalFormatting sqref="B13:I13 B15:I15 B17:I17 B19:I19 B21:I21 B23:I23 B25:I25 B27:I27 B29:I29 B31:I31">
    <cfRule type="expression" dxfId="75" priority="7">
      <formula>B13&lt;&gt;""</formula>
    </cfRule>
  </conditionalFormatting>
  <conditionalFormatting sqref="B12:I12 B14:I14 B16:I16 B18:I18 B20:I20 B22:I22 B24:I24 B26:I26 B28:I28 B30:I30">
    <cfRule type="expression" dxfId="74" priority="6">
      <formula>B12&lt;&gt;""</formula>
    </cfRule>
  </conditionalFormatting>
  <conditionalFormatting sqref="B13:I13 B15:I15 B17:I17 B19:I19 B21:I21 B23:I23 B25:I25 B27:I27 B29:I29">
    <cfRule type="expression" dxfId="73" priority="4">
      <formula>COLUMN(B12)&gt;=2</formula>
    </cfRule>
  </conditionalFormatting>
  <conditionalFormatting sqref="B12:I31">
    <cfRule type="expression" dxfId="72" priority="1">
      <formula>COLUMN(B12)&gt;2</formula>
    </cfRule>
  </conditionalFormatting>
  <dataValidations xWindow="95" yWindow="532" count="13">
    <dataValidation allowBlank="1" showInputMessage="1" showErrorMessage="1" prompt="El calendario de febrero resalta automáticamente las entradas de la lista de tareas para el mes. Las fuentes más oscuras indican tareas. Las fuentes más claras indican días que pertenecen al mes anterior o siguiente." sqref="B2" xr:uid="{00000000-0002-0000-0100-000000000000}"/>
    <dataValidation allowBlank="1" showInputMessage="1" showErrorMessage="1" prompt="El año se actualiza automáticamente. Para cambiar el año, actualice la celda B1 en la hoja de cálculo de Ene." sqref="B1" xr:uid="{00000000-0002-0000-01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100-000002000000}"/>
    <dataValidation allowBlank="1" showInputMessage="1" showErrorMessage="1" prompt="Las celdas C2 a I2 contienen días de la semana." sqref="C2" xr:uid="{00000000-0002-0000-0100-000003000000}"/>
    <dataValidation allowBlank="1" showInputMessage="1" showErrorMessage="1" prompt="Si esta celda no contiene el número 1, se trata de un día del mes anterior. Las celdas C3 a I8 contienen fechas para el mes actual." sqref="C3" xr:uid="{00000000-0002-0000-0100-000004000000}"/>
    <dataValidation allowBlank="1" showInputMessage="1" showErrorMessage="1" prompt="Si esta fila contiene un número menor que el número o la fila de números anterior, en ese caso, esta fila contiene fechas para el próximo mes del calendario." sqref="C8" xr:uid="{00000000-0002-0000-0100-000005000000}"/>
    <dataValidation allowBlank="1" showInputMessage="1" showErrorMessage="1" prompt="Escriba la hora en esta fila, de la columna B a la I." sqref="B12" xr:uid="{00000000-0002-0000-0100-000006000000}"/>
    <dataValidation allowBlank="1" showInputMessage="1" showErrorMessage="1" prompt="Escriba la clase en esta fila, de la columna B a la I." sqref="B13" xr:uid="{00000000-0002-0000-01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1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1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100-00000A000000}"/>
    <dataValidation allowBlank="1" showInputMessage="1" showErrorMessage="1" prompt="Los días de la semana se encuentran en esta fila, del lunes al viernes." sqref="B11" xr:uid="{00000000-0002-0000-01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1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L31"/>
  <sheetViews>
    <sheetView showGridLines="0" topLeftCell="A13" zoomScale="70" zoomScaleNormal="70" zoomScalePageLayoutView="84" workbookViewId="0">
      <selection activeCell="B1" sqref="B1:L1"/>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19</v>
      </c>
      <c r="C2" s="7" t="s">
        <v>29</v>
      </c>
      <c r="D2" s="7" t="s">
        <v>30</v>
      </c>
      <c r="E2" s="7" t="s">
        <v>31</v>
      </c>
      <c r="F2" s="7" t="s">
        <v>32</v>
      </c>
      <c r="G2" s="7" t="s">
        <v>33</v>
      </c>
      <c r="H2" s="7" t="s">
        <v>34</v>
      </c>
      <c r="I2" s="7" t="s">
        <v>35</v>
      </c>
      <c r="J2" s="10" t="s">
        <v>29</v>
      </c>
      <c r="K2" s="42">
        <v>19</v>
      </c>
      <c r="L2" s="49" t="s">
        <v>36</v>
      </c>
    </row>
    <row r="3" spans="1:12" ht="30" customHeight="1" x14ac:dyDescent="0.25">
      <c r="A3" s="13"/>
      <c r="C3" s="6">
        <f ca="1">IF(DAY(MarDom1)=1,MarDom1-6,MarDom1+1)</f>
        <v>43157</v>
      </c>
      <c r="D3" s="6">
        <f ca="1">IF(DAY(MarDom1)=1,MarDom1-5,MarDom1+2)</f>
        <v>43158</v>
      </c>
      <c r="E3" s="6">
        <f ca="1">IF(DAY(MarDom1)=1,MarDom1-4,MarDom1+3)</f>
        <v>43159</v>
      </c>
      <c r="F3" s="6">
        <f ca="1">IF(DAY(MarDom1)=1,MarDom1-3,MarDom1+4)</f>
        <v>43160</v>
      </c>
      <c r="G3" s="6">
        <f ca="1">IF(DAY(MarDom1)=1,MarDom1-2,MarDom1+5)</f>
        <v>43161</v>
      </c>
      <c r="H3" s="6">
        <f ca="1">IF(DAY(MarDom1)=1,MarDom1-1,MarDom1+6)</f>
        <v>43162</v>
      </c>
      <c r="I3" s="6">
        <f ca="1">IF(DAY(MarDom1)=1,MarDom1,MarDom1+7)</f>
        <v>43163</v>
      </c>
      <c r="J3" s="10"/>
      <c r="K3" s="36"/>
      <c r="L3" s="49"/>
    </row>
    <row r="4" spans="1:12" ht="30" customHeight="1" x14ac:dyDescent="0.25">
      <c r="A4" s="13"/>
      <c r="C4" s="6">
        <f ca="1">IF(DAY(MarDom1)=1,MarDom1+1,MarDom1+8)</f>
        <v>43164</v>
      </c>
      <c r="D4" s="6">
        <f ca="1">IF(DAY(MarDom1)=1,MarDom1+2,MarDom1+9)</f>
        <v>43165</v>
      </c>
      <c r="E4" s="6">
        <f ca="1">IF(DAY(MarDom1)=1,MarDom1+3,MarDom1+10)</f>
        <v>43166</v>
      </c>
      <c r="F4" s="6">
        <f ca="1">IF(DAY(MarDom1)=1,MarDom1+4,MarDom1+11)</f>
        <v>43167</v>
      </c>
      <c r="G4" s="6">
        <f ca="1">IF(DAY(MarDom1)=1,MarDom1+5,MarDom1+12)</f>
        <v>43168</v>
      </c>
      <c r="H4" s="6">
        <f ca="1">IF(DAY(MarDom1)=1,MarDom1+6,MarDom1+13)</f>
        <v>43169</v>
      </c>
      <c r="I4" s="6">
        <f ca="1">IF(DAY(MarDom1)=1,MarDom1+7,MarDom1+14)</f>
        <v>43170</v>
      </c>
      <c r="J4" s="10"/>
      <c r="K4" s="36"/>
      <c r="L4" s="49"/>
    </row>
    <row r="5" spans="1:12" ht="30" customHeight="1" x14ac:dyDescent="0.25">
      <c r="A5" s="13"/>
      <c r="C5" s="6">
        <f ca="1">IF(DAY(MarDom1)=1,MarDom1+8,MarDom1+15)</f>
        <v>43171</v>
      </c>
      <c r="D5" s="6">
        <f ca="1">IF(DAY(MarDom1)=1,MarDom1+9,MarDom1+16)</f>
        <v>43172</v>
      </c>
      <c r="E5" s="6">
        <f ca="1">IF(DAY(MarDom1)=1,MarDom1+10,MarDom1+17)</f>
        <v>43173</v>
      </c>
      <c r="F5" s="6">
        <f ca="1">IF(DAY(MarDom1)=1,MarDom1+11,MarDom1+18)</f>
        <v>43174</v>
      </c>
      <c r="G5" s="6">
        <f ca="1">IF(DAY(MarDom1)=1,MarDom1+12,MarDom1+19)</f>
        <v>43175</v>
      </c>
      <c r="H5" s="6">
        <f ca="1">IF(DAY(MarDom1)=1,MarDom1+13,MarDom1+20)</f>
        <v>43176</v>
      </c>
      <c r="I5" s="6">
        <f ca="1">IF(DAY(MarDom1)=1,MarDom1+14,MarDom1+21)</f>
        <v>43177</v>
      </c>
      <c r="J5" s="10"/>
      <c r="K5" s="36"/>
      <c r="L5" s="49"/>
    </row>
    <row r="6" spans="1:12" ht="30" customHeight="1" x14ac:dyDescent="0.25">
      <c r="A6" s="13"/>
      <c r="C6" s="6">
        <f ca="1">IF(DAY(MarDom1)=1,MarDom1+15,MarDom1+22)</f>
        <v>43178</v>
      </c>
      <c r="D6" s="6">
        <f ca="1">IF(DAY(MarDom1)=1,MarDom1+16,MarDom1+23)</f>
        <v>43179</v>
      </c>
      <c r="E6" s="6">
        <f ca="1">IF(DAY(MarDom1)=1,MarDom1+17,MarDom1+24)</f>
        <v>43180</v>
      </c>
      <c r="F6" s="6">
        <f ca="1">IF(DAY(MarDom1)=1,MarDom1+18,MarDom1+25)</f>
        <v>43181</v>
      </c>
      <c r="G6" s="6">
        <f ca="1">IF(DAY(MarDom1)=1,MarDom1+19,MarDom1+26)</f>
        <v>43182</v>
      </c>
      <c r="H6" s="6">
        <f ca="1">IF(DAY(MarDom1)=1,MarDom1+20,MarDom1+27)</f>
        <v>43183</v>
      </c>
      <c r="I6" s="6">
        <f ca="1">IF(DAY(MarDom1)=1,MarDom1+21,MarDom1+28)</f>
        <v>43184</v>
      </c>
      <c r="J6" s="10"/>
      <c r="K6" s="36"/>
      <c r="L6" s="49"/>
    </row>
    <row r="7" spans="1:12" ht="30" customHeight="1" x14ac:dyDescent="0.25">
      <c r="A7" s="13"/>
      <c r="C7" s="6">
        <f ca="1">IF(DAY(MarDom1)=1,MarDom1+22,MarDom1+29)</f>
        <v>43185</v>
      </c>
      <c r="D7" s="6">
        <f ca="1">IF(DAY(MarDom1)=1,MarDom1+23,MarDom1+30)</f>
        <v>43186</v>
      </c>
      <c r="E7" s="6">
        <f ca="1">IF(DAY(MarDom1)=1,MarDom1+24,MarDom1+31)</f>
        <v>43187</v>
      </c>
      <c r="F7" s="6">
        <f ca="1">IF(DAY(MarDom1)=1,MarDom1+25,MarDom1+32)</f>
        <v>43188</v>
      </c>
      <c r="G7" s="6">
        <f ca="1">IF(DAY(MarDom1)=1,MarDom1+26,MarDom1+33)</f>
        <v>43189</v>
      </c>
      <c r="H7" s="6">
        <f ca="1">IF(DAY(MarDom1)=1,MarDom1+27,MarDom1+34)</f>
        <v>43190</v>
      </c>
      <c r="I7" s="6">
        <f ca="1">IF(DAY(MarDom1)=1,MarDom1+28,MarDom1+35)</f>
        <v>43191</v>
      </c>
      <c r="J7" s="20"/>
      <c r="K7" s="35"/>
      <c r="L7" s="18"/>
    </row>
    <row r="8" spans="1:12" ht="30" customHeight="1" x14ac:dyDescent="0.25">
      <c r="A8" s="13"/>
      <c r="B8" s="18"/>
      <c r="C8" s="6">
        <f ca="1">IF(DAY(MarDom1)=1,MarDom1+29,MarDom1+36)</f>
        <v>43192</v>
      </c>
      <c r="D8" s="6">
        <f ca="1">IF(DAY(MarDom1)=1,MarDom1+30,MarDom1+37)</f>
        <v>43193</v>
      </c>
      <c r="E8" s="6">
        <f ca="1">IF(DAY(MarDom1)=1,MarDom1+31,MarDom1+38)</f>
        <v>43194</v>
      </c>
      <c r="F8" s="6">
        <f ca="1">IF(DAY(MarDom1)=1,MarDom1+32,MarDom1+39)</f>
        <v>43195</v>
      </c>
      <c r="G8" s="6">
        <f ca="1">IF(DAY(MarDom1)=1,MarDom1+33,MarDom1+40)</f>
        <v>43196</v>
      </c>
      <c r="H8" s="6">
        <f ca="1">IF(DAY(MarDom1)=1,MarDom1+34,MarDom1+41)</f>
        <v>43197</v>
      </c>
      <c r="I8" s="6">
        <f ca="1">IF(DAY(MarDom1)=1,MarDom1+35,MarDom1+42)</f>
        <v>43198</v>
      </c>
      <c r="J8" s="10" t="s">
        <v>30</v>
      </c>
      <c r="K8" s="37">
        <v>20</v>
      </c>
      <c r="L8" s="49" t="s">
        <v>37</v>
      </c>
    </row>
    <row r="9" spans="1:12" ht="30" customHeight="1" x14ac:dyDescent="0.25">
      <c r="A9" s="13"/>
      <c r="C9" s="4"/>
      <c r="D9" s="4"/>
      <c r="E9" s="4"/>
      <c r="F9" s="4"/>
      <c r="G9" s="4"/>
      <c r="H9" s="4"/>
      <c r="I9" s="4"/>
      <c r="J9" s="10"/>
      <c r="K9" s="36">
        <v>27</v>
      </c>
      <c r="L9" s="49" t="s">
        <v>39</v>
      </c>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5" t="s">
        <v>30</v>
      </c>
      <c r="D11" s="66"/>
      <c r="E11" s="65" t="s">
        <v>31</v>
      </c>
      <c r="F11" s="66"/>
      <c r="G11" s="65" t="s">
        <v>32</v>
      </c>
      <c r="H11" s="66"/>
      <c r="I11" s="3" t="s">
        <v>33</v>
      </c>
      <c r="J11" s="10"/>
      <c r="K11" s="36"/>
      <c r="L11" s="49"/>
    </row>
    <row r="12" spans="1:12" ht="30" customHeight="1" x14ac:dyDescent="0.25">
      <c r="A12" s="26" t="s">
        <v>1</v>
      </c>
      <c r="B12" s="21"/>
      <c r="C12" s="72"/>
      <c r="D12" s="72"/>
      <c r="E12" s="72"/>
      <c r="F12" s="72"/>
      <c r="G12" s="72"/>
      <c r="H12" s="72"/>
      <c r="I12" s="22"/>
      <c r="J12" s="10"/>
      <c r="K12" s="36"/>
      <c r="L12" s="49"/>
    </row>
    <row r="13" spans="1:12" ht="30" customHeight="1" x14ac:dyDescent="0.25">
      <c r="A13" s="26" t="s">
        <v>2</v>
      </c>
      <c r="B13" s="27"/>
      <c r="C13" s="67"/>
      <c r="D13" s="67"/>
      <c r="E13" s="67"/>
      <c r="F13" s="67"/>
      <c r="G13" s="67"/>
      <c r="H13" s="67"/>
      <c r="I13" s="30"/>
      <c r="J13" s="20"/>
      <c r="K13" s="35"/>
      <c r="L13" s="18"/>
    </row>
    <row r="14" spans="1:12" ht="30" customHeight="1" x14ac:dyDescent="0.25">
      <c r="A14" s="26" t="s">
        <v>1</v>
      </c>
      <c r="B14" s="21"/>
      <c r="C14" s="72"/>
      <c r="D14" s="72"/>
      <c r="E14" s="72"/>
      <c r="F14" s="72"/>
      <c r="G14" s="72"/>
      <c r="H14" s="72"/>
      <c r="I14" s="22">
        <v>0.76041666666666663</v>
      </c>
      <c r="J14" s="10" t="s">
        <v>31</v>
      </c>
      <c r="K14" s="37"/>
      <c r="L14" s="49"/>
    </row>
    <row r="15" spans="1:12" ht="30" customHeight="1" x14ac:dyDescent="0.25">
      <c r="A15" s="26" t="s">
        <v>2</v>
      </c>
      <c r="B15" s="27"/>
      <c r="C15" s="67"/>
      <c r="D15" s="67"/>
      <c r="E15" s="67"/>
      <c r="F15" s="67"/>
      <c r="G15" s="67"/>
      <c r="H15" s="67"/>
      <c r="I15" s="27" t="s">
        <v>38</v>
      </c>
      <c r="J15" s="10"/>
      <c r="K15" s="36"/>
      <c r="L15" s="49"/>
    </row>
    <row r="16" spans="1:12" ht="30" customHeight="1" x14ac:dyDescent="0.25">
      <c r="A16" s="26" t="s">
        <v>1</v>
      </c>
      <c r="B16" s="21"/>
      <c r="C16" s="72"/>
      <c r="D16" s="72"/>
      <c r="E16" s="72"/>
      <c r="F16" s="72"/>
      <c r="G16" s="72"/>
      <c r="H16" s="72"/>
      <c r="I16" s="24">
        <v>0.82291666666666663</v>
      </c>
      <c r="J16" s="10"/>
      <c r="K16" s="36"/>
      <c r="L16" s="49"/>
    </row>
    <row r="17" spans="1:12" ht="30" customHeight="1" x14ac:dyDescent="0.25">
      <c r="A17" s="26" t="s">
        <v>2</v>
      </c>
      <c r="B17" s="27"/>
      <c r="C17" s="67"/>
      <c r="D17" s="67"/>
      <c r="E17" s="67"/>
      <c r="F17" s="67"/>
      <c r="G17" s="67"/>
      <c r="H17" s="67"/>
      <c r="I17" s="27" t="s">
        <v>41</v>
      </c>
      <c r="J17" s="10"/>
      <c r="K17" s="36"/>
      <c r="L17" s="49"/>
    </row>
    <row r="18" spans="1:12" ht="30" customHeight="1" x14ac:dyDescent="0.25">
      <c r="A18" s="26" t="s">
        <v>1</v>
      </c>
      <c r="B18" s="21"/>
      <c r="C18" s="72">
        <v>0.82986111111111116</v>
      </c>
      <c r="D18" s="72"/>
      <c r="E18" s="72"/>
      <c r="F18" s="72"/>
      <c r="G18" s="72"/>
      <c r="H18" s="72"/>
      <c r="I18" s="22"/>
      <c r="J18" s="10"/>
      <c r="K18" s="36"/>
      <c r="L18" s="49"/>
    </row>
    <row r="19" spans="1:12" ht="30" customHeight="1" x14ac:dyDescent="0.25">
      <c r="A19" s="26" t="s">
        <v>2</v>
      </c>
      <c r="B19" s="27"/>
      <c r="C19" s="76" t="s">
        <v>42</v>
      </c>
      <c r="D19" s="67"/>
      <c r="E19" s="67"/>
      <c r="F19" s="67"/>
      <c r="G19" s="67"/>
      <c r="H19" s="67"/>
      <c r="I19" s="47"/>
      <c r="J19" s="20"/>
      <c r="K19" s="35"/>
      <c r="L19" s="50"/>
    </row>
    <row r="20" spans="1:12" ht="30" customHeight="1" x14ac:dyDescent="0.25">
      <c r="A20" s="26" t="s">
        <v>1</v>
      </c>
      <c r="B20" s="21"/>
      <c r="C20" s="72">
        <v>0.875</v>
      </c>
      <c r="D20" s="72"/>
      <c r="E20" s="72"/>
      <c r="F20" s="72"/>
      <c r="G20" s="72"/>
      <c r="H20" s="72"/>
      <c r="I20" s="22"/>
      <c r="J20" s="10" t="s">
        <v>32</v>
      </c>
      <c r="K20" s="37">
        <v>29</v>
      </c>
      <c r="L20" s="49" t="s">
        <v>45</v>
      </c>
    </row>
    <row r="21" spans="1:12" ht="30" customHeight="1" x14ac:dyDescent="0.25">
      <c r="A21" s="26" t="s">
        <v>2</v>
      </c>
      <c r="B21" s="27"/>
      <c r="C21" s="76" t="s">
        <v>41</v>
      </c>
      <c r="D21" s="67"/>
      <c r="E21" s="67"/>
      <c r="F21" s="67"/>
      <c r="G21" s="67"/>
      <c r="H21" s="67"/>
      <c r="I21" s="30"/>
      <c r="J21" s="10"/>
      <c r="K21" s="36"/>
      <c r="L21" s="49"/>
    </row>
    <row r="22" spans="1:12" ht="30" customHeight="1" x14ac:dyDescent="0.25">
      <c r="A22" s="26" t="s">
        <v>1</v>
      </c>
      <c r="B22" s="21"/>
      <c r="C22" s="72" t="s">
        <v>43</v>
      </c>
      <c r="D22" s="72"/>
      <c r="E22" s="72"/>
      <c r="F22" s="72"/>
      <c r="G22" s="72"/>
      <c r="H22" s="72"/>
      <c r="I22" s="22"/>
      <c r="J22" s="10"/>
      <c r="K22" s="36"/>
      <c r="L22" s="49"/>
    </row>
    <row r="23" spans="1:12" ht="30" customHeight="1" x14ac:dyDescent="0.25">
      <c r="A23" s="26" t="s">
        <v>2</v>
      </c>
      <c r="B23" s="27"/>
      <c r="C23" s="75">
        <v>0.96180555555555547</v>
      </c>
      <c r="D23" s="67"/>
      <c r="E23" s="67"/>
      <c r="F23" s="67"/>
      <c r="G23" s="67"/>
      <c r="H23" s="67"/>
      <c r="I23" s="30"/>
      <c r="J23" s="10"/>
      <c r="K23" s="36"/>
      <c r="L23" s="49"/>
    </row>
    <row r="24" spans="1:12" ht="30" customHeight="1" x14ac:dyDescent="0.25">
      <c r="A24" s="26" t="s">
        <v>1</v>
      </c>
      <c r="B24" s="21"/>
      <c r="C24" s="72"/>
      <c r="D24" s="72"/>
      <c r="E24" s="72"/>
      <c r="F24" s="72"/>
      <c r="G24" s="72"/>
      <c r="H24" s="72"/>
      <c r="I24" s="22"/>
      <c r="J24" s="10"/>
      <c r="K24" s="36"/>
      <c r="L24" s="49"/>
    </row>
    <row r="25" spans="1:12" ht="30" customHeight="1" x14ac:dyDescent="0.25">
      <c r="A25" s="26" t="s">
        <v>2</v>
      </c>
      <c r="B25" s="27"/>
      <c r="C25" s="67"/>
      <c r="D25" s="67"/>
      <c r="E25" s="67"/>
      <c r="F25" s="67"/>
      <c r="G25" s="67"/>
      <c r="H25" s="67"/>
      <c r="I25" s="30"/>
      <c r="J25" s="20"/>
      <c r="K25" s="35"/>
      <c r="L25" s="50"/>
    </row>
    <row r="26" spans="1:12" ht="30" customHeight="1" x14ac:dyDescent="0.25">
      <c r="A26" s="26" t="s">
        <v>1</v>
      </c>
      <c r="B26" s="21"/>
      <c r="C26" s="72"/>
      <c r="D26" s="72"/>
      <c r="E26" s="72"/>
      <c r="F26" s="72"/>
      <c r="G26" s="72"/>
      <c r="H26" s="72"/>
      <c r="I26" s="22"/>
      <c r="J26" s="10" t="s">
        <v>33</v>
      </c>
      <c r="K26" s="37">
        <v>23</v>
      </c>
      <c r="L26" s="49" t="s">
        <v>40</v>
      </c>
    </row>
    <row r="27" spans="1:12" ht="30" customHeight="1" x14ac:dyDescent="0.25">
      <c r="A27" s="26" t="s">
        <v>2</v>
      </c>
      <c r="B27" s="27"/>
      <c r="C27" s="67"/>
      <c r="D27" s="67"/>
      <c r="E27" s="67"/>
      <c r="F27" s="67"/>
      <c r="G27" s="67"/>
      <c r="H27" s="67"/>
      <c r="I27" s="30"/>
      <c r="J27" s="10"/>
      <c r="K27" s="36">
        <v>30</v>
      </c>
      <c r="L27" s="49" t="s">
        <v>44</v>
      </c>
    </row>
    <row r="28" spans="1:12" ht="30" customHeight="1" x14ac:dyDescent="0.25">
      <c r="A28" s="26" t="s">
        <v>1</v>
      </c>
      <c r="B28" s="21"/>
      <c r="C28" s="72"/>
      <c r="D28" s="72"/>
      <c r="E28" s="72"/>
      <c r="F28" s="72"/>
      <c r="G28" s="72"/>
      <c r="H28" s="72"/>
      <c r="I28" s="22"/>
      <c r="J28" s="10"/>
      <c r="K28" s="36"/>
      <c r="L28" s="49"/>
    </row>
    <row r="29" spans="1:12" ht="30" customHeight="1" x14ac:dyDescent="0.25">
      <c r="A29" s="26" t="s">
        <v>2</v>
      </c>
      <c r="B29" s="27"/>
      <c r="C29" s="67"/>
      <c r="D29" s="67"/>
      <c r="E29" s="67"/>
      <c r="F29" s="67"/>
      <c r="G29" s="67"/>
      <c r="H29" s="67"/>
      <c r="I29" s="30"/>
      <c r="J29" s="10"/>
      <c r="K29" s="36"/>
      <c r="L29" s="49"/>
    </row>
    <row r="30" spans="1:12" ht="30" customHeight="1" x14ac:dyDescent="0.25">
      <c r="A30" s="26" t="s">
        <v>1</v>
      </c>
      <c r="B30" s="21"/>
      <c r="C30" s="72"/>
      <c r="D30" s="72"/>
      <c r="E30" s="72"/>
      <c r="F30" s="72"/>
      <c r="G30" s="72"/>
      <c r="H30" s="72"/>
      <c r="I30" s="22"/>
      <c r="J30" s="10"/>
      <c r="K30" s="36"/>
      <c r="L30" s="49"/>
    </row>
    <row r="31" spans="1:12" ht="30" customHeight="1" x14ac:dyDescent="0.25">
      <c r="A31" s="26" t="s">
        <v>2</v>
      </c>
      <c r="B31" s="28"/>
      <c r="C31" s="69"/>
      <c r="D31" s="69"/>
      <c r="E31" s="69"/>
      <c r="F31" s="69"/>
      <c r="G31" s="69"/>
      <c r="H31" s="69"/>
      <c r="I31" s="29"/>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71" priority="6" stopIfTrue="1">
      <formula>DAY(C3)&gt;8</formula>
    </cfRule>
  </conditionalFormatting>
  <conditionalFormatting sqref="C7:I8">
    <cfRule type="expression" dxfId="70" priority="5" stopIfTrue="1">
      <formula>AND(DAY(C7)&gt;=1,DAY(C7)&lt;=15)</formula>
    </cfRule>
  </conditionalFormatting>
  <conditionalFormatting sqref="C3:I8">
    <cfRule type="expression" dxfId="69" priority="7">
      <formula>VLOOKUP(DAY(C3),AssignmentDays,1,FALSE)=DAY(C3)</formula>
    </cfRule>
  </conditionalFormatting>
  <conditionalFormatting sqref="B13:I13 B15:I15 B17:I17 B19:I19 B21:I21 B23:I23 B25:I25 B27:I27 B29:I29 B31:I31">
    <cfRule type="expression" dxfId="68" priority="4">
      <formula>B13&lt;&gt;""</formula>
    </cfRule>
  </conditionalFormatting>
  <conditionalFormatting sqref="B12:I12 B14:I14 B16:I16 B18:I18 B20:I20 B22:I22 B24:I24 B26:I26 B28:I28 B30:I30">
    <cfRule type="expression" dxfId="67" priority="3">
      <formula>B12&lt;&gt;""</formula>
    </cfRule>
  </conditionalFormatting>
  <conditionalFormatting sqref="B13:I13 B15:I15 B17:I17 B19:I19 B21:I21 B23:I23 B25:I25 B27:I27 B29:I29">
    <cfRule type="expression" dxfId="66" priority="2">
      <formula>COLUMN(B12)&gt;=2</formula>
    </cfRule>
  </conditionalFormatting>
  <conditionalFormatting sqref="B12:I31">
    <cfRule type="expression" dxfId="65" priority="1">
      <formula>COLUMN(B12)&gt;2</formula>
    </cfRule>
  </conditionalFormatting>
  <dataValidations xWindow="135" yWindow="352" count="13">
    <dataValidation allowBlank="1" showInputMessage="1" showErrorMessage="1" prompt="Escriba la clase en esta fila, de la columna B a la I." sqref="B13" xr:uid="{00000000-0002-0000-0200-000000000000}"/>
    <dataValidation allowBlank="1" showInputMessage="1" showErrorMessage="1" prompt="Escriba la hora en esta fila, de la columna B a la I." sqref="B12" xr:uid="{00000000-0002-0000-0200-000001000000}"/>
    <dataValidation allowBlank="1" showInputMessage="1" showErrorMessage="1" prompt="Si esta fila contiene un número menor que el número o la fila de números anterior, en ese caso, esta fila contiene fechas para el próximo mes del calendario." sqref="C8" xr:uid="{00000000-0002-0000-0200-000002000000}"/>
    <dataValidation allowBlank="1" showInputMessage="1" showErrorMessage="1" prompt="Si esta celda no contiene el número 1, se trata de un día del mes anterior. Las celdas C3 a I8 contienen fechas para el mes actual." sqref="C3" xr:uid="{00000000-0002-0000-0200-000003000000}"/>
    <dataValidation allowBlank="1" showInputMessage="1" showErrorMessage="1" prompt="Las celdas C2 a I2 contienen días de la semana." sqref="C2" xr:uid="{00000000-0002-0000-02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200-000005000000}"/>
    <dataValidation allowBlank="1" showInputMessage="1" showErrorMessage="1" prompt="El año se actualiza automáticamente. Para cambiar el año, actualice la celda B1 en la hoja de cálculo de Ene." sqref="B1" xr:uid="{00000000-0002-0000-0200-000006000000}"/>
    <dataValidation allowBlank="1" showInputMessage="1" showErrorMessage="1" prompt="El calendario de marzo resalta automáticamente las entradas de la lista de tareas para el mes. Las fuentes más oscuras indican tareas. Las fuentes más claras indican días que pertenecen al mes anterior o siguiente." sqref="B2" xr:uid="{00000000-0002-0000-02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200-000008000000}"/>
    <dataValidation allowBlank="1" showInputMessage="1" showErrorMessage="1" prompt="Escriba en esta columna los detalles de la tarea correspondientes al día de la semana de la columna J y al día de la columna K del mes del calendario de la izquierda." sqref="L1" xr:uid="{1E7F502D-4C81-4B81-ADCA-0D97416DC960}"/>
    <dataValidation allowBlank="1" showInputMessage="1" showErrorMessage="1" prompt="Escriba en esta columna el día de la tarea del mes que corresponda al día de la semana de la columna J. Esta fecha resaltará la tarea en el calendario de la izquierda." sqref="K1" xr:uid="{00000000-0002-0000-0200-00000A000000}"/>
    <dataValidation allowBlank="1" showInputMessage="1" showErrorMessage="1" prompt="Los días de la semana se encuentran en esta fila, del lunes al viernes." sqref="B11" xr:uid="{00000000-0002-0000-02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2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L31"/>
  <sheetViews>
    <sheetView showGridLines="0" tabSelected="1" topLeftCell="A16" zoomScale="70" zoomScaleNormal="70" zoomScalePageLayoutView="84" workbookViewId="0">
      <selection activeCell="L28" sqref="L28"/>
    </sheetView>
  </sheetViews>
  <sheetFormatPr baseColWidth="10" defaultColWidth="8.625" defaultRowHeight="30" customHeight="1" x14ac:dyDescent="0.25"/>
  <cols>
    <col min="1" max="1" width="2.625" style="1" customWidth="1"/>
    <col min="2" max="2" width="20.625" style="17" customWidth="1"/>
    <col min="3" max="8" width="10.625" style="1" customWidth="1"/>
    <col min="9" max="9" width="20.625" style="1" customWidth="1"/>
    <col min="10" max="10" width="10.625" style="10"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20</v>
      </c>
      <c r="C2" s="7" t="s">
        <v>29</v>
      </c>
      <c r="D2" s="7" t="s">
        <v>30</v>
      </c>
      <c r="E2" s="7" t="s">
        <v>31</v>
      </c>
      <c r="F2" s="7" t="s">
        <v>32</v>
      </c>
      <c r="G2" s="7" t="s">
        <v>33</v>
      </c>
      <c r="H2" s="7" t="s">
        <v>34</v>
      </c>
      <c r="I2" s="7" t="s">
        <v>35</v>
      </c>
      <c r="J2" s="10" t="s">
        <v>29</v>
      </c>
      <c r="K2" s="42">
        <v>2</v>
      </c>
      <c r="L2" s="49" t="s">
        <v>46</v>
      </c>
    </row>
    <row r="3" spans="1:12" ht="30" customHeight="1" x14ac:dyDescent="0.25">
      <c r="A3" s="13"/>
      <c r="C3" s="6">
        <f ca="1">IF(DAY(AbrDom1)=1,AbrDom1-6,AbrDom1+1)</f>
        <v>43185</v>
      </c>
      <c r="D3" s="6">
        <f ca="1">IF(DAY(AbrDom1)=1,AbrDom1-5,AbrDom1+2)</f>
        <v>43186</v>
      </c>
      <c r="E3" s="6">
        <f ca="1">IF(DAY(AbrDom1)=1,AbrDom1-4,AbrDom1+3)</f>
        <v>43187</v>
      </c>
      <c r="F3" s="6">
        <f ca="1">IF(DAY(AbrDom1)=1,AbrDom1-3,AbrDom1+4)</f>
        <v>43188</v>
      </c>
      <c r="G3" s="6">
        <f ca="1">IF(DAY(AbrDom1)=1,AbrDom1-2,AbrDom1+5)</f>
        <v>43189</v>
      </c>
      <c r="H3" s="6">
        <f ca="1">IF(DAY(AbrDom1)=1,AbrDom1-1,AbrDom1+6)</f>
        <v>43190</v>
      </c>
      <c r="I3" s="6">
        <f ca="1">IF(DAY(AbrDom1)=1,AbrDom1,AbrDom1+7)</f>
        <v>43191</v>
      </c>
      <c r="K3" s="36"/>
      <c r="L3" s="49"/>
    </row>
    <row r="4" spans="1:12" ht="30" customHeight="1" x14ac:dyDescent="0.25">
      <c r="A4" s="13"/>
      <c r="C4" s="6">
        <f ca="1">IF(DAY(AbrDom1)=1,AbrDom1+1,AbrDom1+8)</f>
        <v>43192</v>
      </c>
      <c r="D4" s="6">
        <f ca="1">IF(DAY(AbrDom1)=1,AbrDom1+2,AbrDom1+9)</f>
        <v>43193</v>
      </c>
      <c r="E4" s="6">
        <f ca="1">IF(DAY(AbrDom1)=1,AbrDom1+3,AbrDom1+10)</f>
        <v>43194</v>
      </c>
      <c r="F4" s="6">
        <f ca="1">IF(DAY(AbrDom1)=1,AbrDom1+4,AbrDom1+11)</f>
        <v>43195</v>
      </c>
      <c r="G4" s="6">
        <f ca="1">IF(DAY(AbrDom1)=1,AbrDom1+5,AbrDom1+12)</f>
        <v>43196</v>
      </c>
      <c r="H4" s="6">
        <f ca="1">IF(DAY(AbrDom1)=1,AbrDom1+6,AbrDom1+13)</f>
        <v>43197</v>
      </c>
      <c r="I4" s="6">
        <f ca="1">IF(DAY(AbrDom1)=1,AbrDom1+7,AbrDom1+14)</f>
        <v>43198</v>
      </c>
      <c r="K4" s="36"/>
      <c r="L4" s="49"/>
    </row>
    <row r="5" spans="1:12" ht="30" customHeight="1" x14ac:dyDescent="0.25">
      <c r="A5" s="13"/>
      <c r="C5" s="6">
        <f ca="1">IF(DAY(AbrDom1)=1,AbrDom1+8,AbrDom1+15)</f>
        <v>43199</v>
      </c>
      <c r="D5" s="6">
        <f ca="1">IF(DAY(AbrDom1)=1,AbrDom1+9,AbrDom1+16)</f>
        <v>43200</v>
      </c>
      <c r="E5" s="6">
        <f ca="1">IF(DAY(AbrDom1)=1,AbrDom1+10,AbrDom1+17)</f>
        <v>43201</v>
      </c>
      <c r="F5" s="6">
        <f ca="1">IF(DAY(AbrDom1)=1,AbrDom1+11,AbrDom1+18)</f>
        <v>43202</v>
      </c>
      <c r="G5" s="6">
        <f ca="1">IF(DAY(AbrDom1)=1,AbrDom1+12,AbrDom1+19)</f>
        <v>43203</v>
      </c>
      <c r="H5" s="6">
        <f ca="1">IF(DAY(AbrDom1)=1,AbrDom1+13,AbrDom1+20)</f>
        <v>43204</v>
      </c>
      <c r="I5" s="6">
        <f ca="1">IF(DAY(AbrDom1)=1,AbrDom1+14,AbrDom1+21)</f>
        <v>43205</v>
      </c>
      <c r="K5" s="36"/>
      <c r="L5" s="49"/>
    </row>
    <row r="6" spans="1:12" ht="30" customHeight="1" x14ac:dyDescent="0.25">
      <c r="A6" s="13"/>
      <c r="C6" s="6">
        <f ca="1">IF(DAY(AbrDom1)=1,AbrDom1+15,AbrDom1+22)</f>
        <v>43206</v>
      </c>
      <c r="D6" s="6">
        <f ca="1">IF(DAY(AbrDom1)=1,AbrDom1+16,AbrDom1+23)</f>
        <v>43207</v>
      </c>
      <c r="E6" s="6">
        <f ca="1">IF(DAY(AbrDom1)=1,AbrDom1+17,AbrDom1+24)</f>
        <v>43208</v>
      </c>
      <c r="F6" s="6">
        <f ca="1">IF(DAY(AbrDom1)=1,AbrDom1+18,AbrDom1+25)</f>
        <v>43209</v>
      </c>
      <c r="G6" s="6">
        <f ca="1">IF(DAY(AbrDom1)=1,AbrDom1+19,AbrDom1+26)</f>
        <v>43210</v>
      </c>
      <c r="H6" s="6">
        <f ca="1">IF(DAY(AbrDom1)=1,AbrDom1+20,AbrDom1+27)</f>
        <v>43211</v>
      </c>
      <c r="I6" s="6">
        <f ca="1">IF(DAY(AbrDom1)=1,AbrDom1+21,AbrDom1+28)</f>
        <v>43212</v>
      </c>
      <c r="K6" s="36"/>
      <c r="L6" s="49"/>
    </row>
    <row r="7" spans="1:12" ht="30" customHeight="1" x14ac:dyDescent="0.25">
      <c r="A7" s="13"/>
      <c r="C7" s="6">
        <f ca="1">IF(DAY(AbrDom1)=1,AbrDom1+22,AbrDom1+29)</f>
        <v>43213</v>
      </c>
      <c r="D7" s="6">
        <f ca="1">IF(DAY(AbrDom1)=1,AbrDom1+23,AbrDom1+30)</f>
        <v>43214</v>
      </c>
      <c r="E7" s="6">
        <f ca="1">IF(DAY(AbrDom1)=1,AbrDom1+24,AbrDom1+31)</f>
        <v>43215</v>
      </c>
      <c r="F7" s="6">
        <f ca="1">IF(DAY(AbrDom1)=1,AbrDom1+25,AbrDom1+32)</f>
        <v>43216</v>
      </c>
      <c r="G7" s="6">
        <f ca="1">IF(DAY(AbrDom1)=1,AbrDom1+26,AbrDom1+33)</f>
        <v>43217</v>
      </c>
      <c r="H7" s="6">
        <f ca="1">IF(DAY(AbrDom1)=1,AbrDom1+27,AbrDom1+34)</f>
        <v>43218</v>
      </c>
      <c r="I7" s="6">
        <f ca="1">IF(DAY(AbrDom1)=1,AbrDom1+28,AbrDom1+35)</f>
        <v>43219</v>
      </c>
      <c r="J7" s="20"/>
      <c r="K7" s="35">
        <v>30</v>
      </c>
      <c r="L7" s="18" t="s">
        <v>50</v>
      </c>
    </row>
    <row r="8" spans="1:12" ht="30" customHeight="1" x14ac:dyDescent="0.25">
      <c r="A8" s="13"/>
      <c r="B8" s="18"/>
      <c r="C8" s="6">
        <f ca="1">IF(DAY(AbrDom1)=1,AbrDom1+29,AbrDom1+36)</f>
        <v>43220</v>
      </c>
      <c r="D8" s="6">
        <f ca="1">IF(DAY(AbrDom1)=1,AbrDom1+30,AbrDom1+37)</f>
        <v>43221</v>
      </c>
      <c r="E8" s="6">
        <f ca="1">IF(DAY(AbrDom1)=1,AbrDom1+31,AbrDom1+38)</f>
        <v>43222</v>
      </c>
      <c r="F8" s="6">
        <f ca="1">IF(DAY(AbrDom1)=1,AbrDom1+32,AbrDom1+39)</f>
        <v>43223</v>
      </c>
      <c r="G8" s="6">
        <f ca="1">IF(DAY(AbrDom1)=1,AbrDom1+33,AbrDom1+40)</f>
        <v>43224</v>
      </c>
      <c r="H8" s="6">
        <f ca="1">IF(DAY(AbrDom1)=1,AbrDom1+34,AbrDom1+41)</f>
        <v>43225</v>
      </c>
      <c r="I8" s="6">
        <f ca="1">IF(DAY(AbrDom1)=1,AbrDom1+35,AbrDom1+42)</f>
        <v>43226</v>
      </c>
      <c r="J8" s="10" t="s">
        <v>30</v>
      </c>
      <c r="K8" s="37">
        <v>3</v>
      </c>
      <c r="L8" s="49" t="s">
        <v>56</v>
      </c>
    </row>
    <row r="9" spans="1:12" ht="30" customHeight="1" x14ac:dyDescent="0.25">
      <c r="A9" s="13"/>
      <c r="C9" s="4"/>
      <c r="D9" s="4"/>
      <c r="E9" s="4"/>
      <c r="F9" s="4"/>
      <c r="G9" s="4"/>
      <c r="H9" s="4"/>
      <c r="I9" s="4"/>
      <c r="K9" s="36">
        <v>10</v>
      </c>
      <c r="L9" s="49" t="s">
        <v>59</v>
      </c>
    </row>
    <row r="10" spans="1:12" ht="30" customHeight="1" x14ac:dyDescent="0.25">
      <c r="A10" s="13"/>
      <c r="B10" s="16" t="s">
        <v>4</v>
      </c>
      <c r="C10" s="9"/>
      <c r="D10" s="9"/>
      <c r="E10" s="9"/>
      <c r="F10" s="9"/>
      <c r="G10" s="9"/>
      <c r="H10" s="9"/>
      <c r="I10" s="9"/>
      <c r="K10" s="36">
        <v>17</v>
      </c>
      <c r="L10" s="49" t="s">
        <v>57</v>
      </c>
    </row>
    <row r="11" spans="1:12" ht="30" customHeight="1" x14ac:dyDescent="0.25">
      <c r="A11" s="26" t="s">
        <v>0</v>
      </c>
      <c r="B11" s="25" t="s">
        <v>29</v>
      </c>
      <c r="C11" s="65" t="s">
        <v>30</v>
      </c>
      <c r="D11" s="66"/>
      <c r="E11" s="65" t="s">
        <v>31</v>
      </c>
      <c r="F11" s="66"/>
      <c r="G11" s="65" t="s">
        <v>32</v>
      </c>
      <c r="H11" s="66"/>
      <c r="I11" s="3" t="s">
        <v>33</v>
      </c>
      <c r="K11" s="36">
        <v>24</v>
      </c>
      <c r="L11" s="49" t="s">
        <v>58</v>
      </c>
    </row>
    <row r="12" spans="1:12" ht="30" customHeight="1" x14ac:dyDescent="0.25">
      <c r="A12" s="26" t="s">
        <v>1</v>
      </c>
      <c r="B12" s="56"/>
      <c r="C12" s="72"/>
      <c r="D12" s="72"/>
      <c r="E12" s="72"/>
      <c r="F12" s="72"/>
      <c r="G12" s="72"/>
      <c r="H12" s="72"/>
      <c r="I12" s="22"/>
      <c r="K12" s="36"/>
      <c r="L12" s="49"/>
    </row>
    <row r="13" spans="1:12" ht="30" customHeight="1" x14ac:dyDescent="0.25">
      <c r="A13" s="26" t="s">
        <v>2</v>
      </c>
      <c r="B13" s="27"/>
      <c r="C13" s="67"/>
      <c r="D13" s="67"/>
      <c r="E13" s="67"/>
      <c r="F13" s="67"/>
      <c r="G13" s="67"/>
      <c r="H13" s="67"/>
      <c r="I13" s="54"/>
      <c r="J13" s="20"/>
      <c r="K13" s="35"/>
      <c r="L13" s="18"/>
    </row>
    <row r="14" spans="1:12" ht="30" customHeight="1" x14ac:dyDescent="0.25">
      <c r="A14" s="26" t="s">
        <v>1</v>
      </c>
      <c r="B14" s="56"/>
      <c r="C14" s="72"/>
      <c r="D14" s="72"/>
      <c r="E14" s="72"/>
      <c r="F14" s="72"/>
      <c r="G14" s="72"/>
      <c r="H14" s="72"/>
      <c r="I14" s="22">
        <v>0.76041666666666663</v>
      </c>
      <c r="J14" s="10" t="s">
        <v>31</v>
      </c>
      <c r="K14" s="77"/>
      <c r="L14" s="78"/>
    </row>
    <row r="15" spans="1:12" ht="30" customHeight="1" x14ac:dyDescent="0.25">
      <c r="A15" s="26" t="s">
        <v>2</v>
      </c>
      <c r="B15" s="27"/>
      <c r="C15" s="67"/>
      <c r="D15" s="67"/>
      <c r="E15" s="67"/>
      <c r="F15" s="67"/>
      <c r="G15" s="67"/>
      <c r="H15" s="67"/>
      <c r="I15" s="27" t="s">
        <v>38</v>
      </c>
      <c r="K15" s="77"/>
      <c r="L15" s="78"/>
    </row>
    <row r="16" spans="1:12" ht="30" customHeight="1" x14ac:dyDescent="0.25">
      <c r="A16" s="26" t="s">
        <v>1</v>
      </c>
      <c r="B16" s="56"/>
      <c r="C16" s="72"/>
      <c r="D16" s="72"/>
      <c r="E16" s="72"/>
      <c r="F16" s="72"/>
      <c r="G16" s="72"/>
      <c r="H16" s="72"/>
      <c r="I16" s="24">
        <v>0.82291666666666663</v>
      </c>
      <c r="K16" s="36"/>
      <c r="L16" s="49"/>
    </row>
    <row r="17" spans="1:12" ht="30" customHeight="1" x14ac:dyDescent="0.25">
      <c r="A17" s="26" t="s">
        <v>2</v>
      </c>
      <c r="B17" s="27"/>
      <c r="C17" s="67"/>
      <c r="D17" s="67"/>
      <c r="E17" s="67"/>
      <c r="F17" s="67"/>
      <c r="G17" s="67"/>
      <c r="H17" s="67"/>
      <c r="I17" s="27" t="s">
        <v>41</v>
      </c>
      <c r="K17" s="36"/>
      <c r="L17" s="49"/>
    </row>
    <row r="18" spans="1:12" ht="30" customHeight="1" x14ac:dyDescent="0.25">
      <c r="A18" s="26" t="s">
        <v>1</v>
      </c>
      <c r="B18" s="56"/>
      <c r="C18" s="72">
        <v>0.82986111111111116</v>
      </c>
      <c r="D18" s="72"/>
      <c r="E18" s="72"/>
      <c r="F18" s="72"/>
      <c r="G18" s="72"/>
      <c r="H18" s="72"/>
      <c r="I18" s="22"/>
      <c r="K18" s="36"/>
      <c r="L18" s="49"/>
    </row>
    <row r="19" spans="1:12" ht="30" customHeight="1" x14ac:dyDescent="0.25">
      <c r="A19" s="26" t="s">
        <v>2</v>
      </c>
      <c r="B19" s="27"/>
      <c r="C19" s="76" t="s">
        <v>42</v>
      </c>
      <c r="D19" s="67"/>
      <c r="E19" s="67"/>
      <c r="F19" s="67"/>
      <c r="G19" s="67"/>
      <c r="H19" s="67"/>
      <c r="I19" s="47"/>
      <c r="J19" s="20"/>
      <c r="K19" s="35"/>
      <c r="L19" s="50"/>
    </row>
    <row r="20" spans="1:12" ht="30" customHeight="1" x14ac:dyDescent="0.25">
      <c r="A20" s="26" t="s">
        <v>1</v>
      </c>
      <c r="B20" s="56"/>
      <c r="C20" s="72">
        <v>0.875</v>
      </c>
      <c r="D20" s="72"/>
      <c r="E20" s="72"/>
      <c r="F20" s="72"/>
      <c r="G20" s="72"/>
      <c r="H20" s="72"/>
      <c r="I20" s="22"/>
      <c r="J20" s="10" t="s">
        <v>32</v>
      </c>
      <c r="K20" s="37"/>
      <c r="L20" s="49"/>
    </row>
    <row r="21" spans="1:12" ht="30" customHeight="1" x14ac:dyDescent="0.25">
      <c r="A21" s="26" t="s">
        <v>2</v>
      </c>
      <c r="B21" s="27"/>
      <c r="C21" s="76" t="s">
        <v>41</v>
      </c>
      <c r="D21" s="67"/>
      <c r="E21" s="67"/>
      <c r="F21" s="67"/>
      <c r="G21" s="67"/>
      <c r="H21" s="67"/>
      <c r="I21" s="54"/>
      <c r="K21" s="36"/>
      <c r="L21" s="49"/>
    </row>
    <row r="22" spans="1:12" ht="30" customHeight="1" x14ac:dyDescent="0.25">
      <c r="A22" s="26" t="s">
        <v>1</v>
      </c>
      <c r="B22" s="56"/>
      <c r="C22" s="72" t="s">
        <v>43</v>
      </c>
      <c r="D22" s="72"/>
      <c r="E22" s="72"/>
      <c r="F22" s="72"/>
      <c r="G22" s="72"/>
      <c r="H22" s="72"/>
      <c r="I22" s="22"/>
      <c r="K22" s="36"/>
      <c r="L22" s="49"/>
    </row>
    <row r="23" spans="1:12" ht="30" customHeight="1" x14ac:dyDescent="0.25">
      <c r="A23" s="26" t="s">
        <v>2</v>
      </c>
      <c r="B23" s="27"/>
      <c r="C23" s="75">
        <v>0.96180555555555547</v>
      </c>
      <c r="D23" s="67"/>
      <c r="E23" s="67"/>
      <c r="F23" s="67"/>
      <c r="G23" s="67"/>
      <c r="H23" s="67"/>
      <c r="I23" s="54"/>
      <c r="K23" s="36"/>
      <c r="L23" s="49"/>
    </row>
    <row r="24" spans="1:12" ht="30" customHeight="1" x14ac:dyDescent="0.25">
      <c r="A24" s="26" t="s">
        <v>1</v>
      </c>
      <c r="B24" s="56"/>
      <c r="C24" s="72"/>
      <c r="D24" s="72"/>
      <c r="E24" s="72"/>
      <c r="F24" s="72"/>
      <c r="G24" s="72"/>
      <c r="H24" s="72"/>
      <c r="I24" s="22"/>
      <c r="K24" s="36"/>
      <c r="L24" s="49"/>
    </row>
    <row r="25" spans="1:12" ht="30" customHeight="1" x14ac:dyDescent="0.25">
      <c r="A25" s="26" t="s">
        <v>2</v>
      </c>
      <c r="B25" s="27"/>
      <c r="C25" s="67"/>
      <c r="D25" s="67"/>
      <c r="E25" s="67"/>
      <c r="F25" s="67"/>
      <c r="G25" s="67"/>
      <c r="H25" s="67"/>
      <c r="I25" s="54"/>
      <c r="J25" s="20"/>
      <c r="K25" s="35"/>
      <c r="L25" s="50"/>
    </row>
    <row r="26" spans="1:12" ht="30" customHeight="1" x14ac:dyDescent="0.25">
      <c r="A26" s="26" t="s">
        <v>1</v>
      </c>
      <c r="B26" s="56"/>
      <c r="C26" s="72"/>
      <c r="D26" s="72"/>
      <c r="E26" s="72"/>
      <c r="F26" s="72"/>
      <c r="G26" s="72"/>
      <c r="H26" s="72"/>
      <c r="I26" s="22"/>
      <c r="J26" s="10" t="s">
        <v>33</v>
      </c>
      <c r="K26" s="37">
        <v>6</v>
      </c>
      <c r="L26" s="49" t="s">
        <v>60</v>
      </c>
    </row>
    <row r="27" spans="1:12" ht="30" customHeight="1" x14ac:dyDescent="0.25">
      <c r="A27" s="26" t="s">
        <v>2</v>
      </c>
      <c r="B27" s="27"/>
      <c r="C27" s="67"/>
      <c r="D27" s="67"/>
      <c r="E27" s="67"/>
      <c r="F27" s="67"/>
      <c r="G27" s="67"/>
      <c r="H27" s="67"/>
      <c r="I27" s="54"/>
      <c r="K27" s="36">
        <v>13</v>
      </c>
      <c r="L27" s="49" t="s">
        <v>63</v>
      </c>
    </row>
    <row r="28" spans="1:12" ht="30" customHeight="1" x14ac:dyDescent="0.25">
      <c r="A28" s="26" t="s">
        <v>1</v>
      </c>
      <c r="B28" s="56"/>
      <c r="C28" s="72"/>
      <c r="D28" s="72"/>
      <c r="E28" s="72"/>
      <c r="F28" s="72"/>
      <c r="G28" s="72"/>
      <c r="H28" s="72"/>
      <c r="I28" s="22"/>
      <c r="K28" s="36">
        <v>20</v>
      </c>
      <c r="L28" s="49" t="s">
        <v>62</v>
      </c>
    </row>
    <row r="29" spans="1:12" ht="30" customHeight="1" x14ac:dyDescent="0.25">
      <c r="A29" s="26" t="s">
        <v>2</v>
      </c>
      <c r="B29" s="27"/>
      <c r="C29" s="67"/>
      <c r="D29" s="67"/>
      <c r="E29" s="67"/>
      <c r="F29" s="67"/>
      <c r="G29" s="67"/>
      <c r="H29" s="67"/>
      <c r="I29" s="54"/>
      <c r="K29" s="36">
        <v>27</v>
      </c>
      <c r="L29" s="49" t="s">
        <v>61</v>
      </c>
    </row>
    <row r="30" spans="1:12" ht="30" customHeight="1" x14ac:dyDescent="0.25">
      <c r="A30" s="26" t="s">
        <v>1</v>
      </c>
      <c r="B30" s="56"/>
      <c r="C30" s="72"/>
      <c r="D30" s="72"/>
      <c r="E30" s="72"/>
      <c r="F30" s="72"/>
      <c r="G30" s="72"/>
      <c r="H30" s="72"/>
      <c r="I30" s="22"/>
      <c r="K30" s="36"/>
      <c r="L30" s="49"/>
    </row>
    <row r="31" spans="1:12" ht="30" customHeight="1" x14ac:dyDescent="0.25">
      <c r="A31" s="26" t="s">
        <v>2</v>
      </c>
      <c r="B31" s="28"/>
      <c r="C31" s="69"/>
      <c r="D31" s="69"/>
      <c r="E31" s="69"/>
      <c r="F31" s="69"/>
      <c r="G31" s="69"/>
      <c r="H31" s="69"/>
      <c r="I31" s="55"/>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64" priority="10" stopIfTrue="1">
      <formula>DAY(C3)&gt;8</formula>
    </cfRule>
  </conditionalFormatting>
  <conditionalFormatting sqref="C7:I8">
    <cfRule type="expression" dxfId="63" priority="9" stopIfTrue="1">
      <formula>AND(DAY(C7)&gt;=1,DAY(C7)&lt;=15)</formula>
    </cfRule>
  </conditionalFormatting>
  <conditionalFormatting sqref="C3:I8">
    <cfRule type="expression" dxfId="62" priority="11">
      <formula>VLOOKUP(DAY(C3),AssignmentDays,1,FALSE)=DAY(C3)</formula>
    </cfRule>
  </conditionalFormatting>
  <conditionalFormatting sqref="B13:I13 B15:I15 B17:I17 B19:I19 B21:I21 B23:I23 B25:I25 B27:I27 B29:I29 B31:I31">
    <cfRule type="expression" dxfId="61" priority="4">
      <formula>B13&lt;&gt;""</formula>
    </cfRule>
  </conditionalFormatting>
  <conditionalFormatting sqref="B12:I12 B14:I14 B16:I16 B18:I18 B20:I20 B22:I22 B24:I24 B26:I26 B28:I28 B30:I30">
    <cfRule type="expression" dxfId="60" priority="3">
      <formula>B12&lt;&gt;""</formula>
    </cfRule>
  </conditionalFormatting>
  <conditionalFormatting sqref="B13:I13 B15:I15 B17:I17 B19:I19 B21:I21 B23:I23 B25:I25 B27:I27 B29:I29">
    <cfRule type="expression" dxfId="59" priority="2">
      <formula>COLUMN(B12)&gt;=2</formula>
    </cfRule>
  </conditionalFormatting>
  <conditionalFormatting sqref="B12:I31">
    <cfRule type="expression" dxfId="58" priority="1">
      <formula>COLUMN(B12)&gt;2</formula>
    </cfRule>
  </conditionalFormatting>
  <dataValidations xWindow="209" yWindow="929" count="13">
    <dataValidation allowBlank="1" showInputMessage="1" showErrorMessage="1" prompt="El calendario de abril resalta automáticamente las entradas de la lista de tareas para el mes. Las fuentes más oscuras indican tareas. Las fuentes más claras indican días que pertenecen al mes anterior o siguiente." sqref="B2" xr:uid="{00000000-0002-0000-0300-000000000000}"/>
    <dataValidation allowBlank="1" showInputMessage="1" showErrorMessage="1" prompt="El año se actualiza automáticamente. Para cambiar el año, actualice la celda B1 en la hoja de cálculo de Ene." sqref="B1" xr:uid="{00000000-0002-0000-03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300-000002000000}"/>
    <dataValidation allowBlank="1" showInputMessage="1" showErrorMessage="1" prompt="Las celdas C2 a I2 contienen días de la semana." sqref="C2" xr:uid="{00000000-0002-0000-0300-000003000000}"/>
    <dataValidation allowBlank="1" showInputMessage="1" showErrorMessage="1" prompt="Si esta celda no contiene el número 1, se trata de un día del mes anterior. Las celdas C3 a I8 contienen fechas para el mes actual." sqref="C3" xr:uid="{00000000-0002-0000-0300-000004000000}"/>
    <dataValidation allowBlank="1" showInputMessage="1" showErrorMessage="1" prompt="Si esta fila contiene un número menor que el número o la fila de números anterior, en ese caso, esta fila contiene fechas para el próximo mes del calendario." sqref="C8" xr:uid="{00000000-0002-0000-0300-000005000000}"/>
    <dataValidation allowBlank="1" showInputMessage="1" showErrorMessage="1" prompt="Escriba la hora en esta fila, de la columna B a la I." sqref="B12" xr:uid="{6DBDB87C-B91D-4A7C-B09F-86455EB9C724}"/>
    <dataValidation allowBlank="1" showInputMessage="1" showErrorMessage="1" prompt="Escriba la clase en esta fila, de la columna B a la I." sqref="B13" xr:uid="{E32F8EB0-B458-42EF-BBF3-1E59CB0C87A3}"/>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300-000008000000}"/>
    <dataValidation allowBlank="1" showInputMessage="1" showErrorMessage="1" prompt="Escriba en esta columna los detalles de la tarea correspondientes al día de la semana de la columna J y al día de la columna K del mes del calendario de la izquierda." sqref="L1" xr:uid="{8E7B046D-5AC6-439A-BD01-16D9D7FFFEAB}"/>
    <dataValidation allowBlank="1" showInputMessage="1" showErrorMessage="1" prompt="Escriba en esta columna el día de la tarea del mes que corresponda al día de la semana de la columna J. Esta fecha resaltará la tarea en el calendario de la izquierda." sqref="K1" xr:uid="{00000000-0002-0000-0300-00000A000000}"/>
    <dataValidation allowBlank="1" showInputMessage="1" showErrorMessage="1" prompt="Los días de la semana se encuentran en esta fila, del lunes al viernes." sqref="B11" xr:uid="{00000000-0002-0000-03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3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L31"/>
  <sheetViews>
    <sheetView showGridLines="0" zoomScale="70" zoomScaleNormal="70" zoomScalePageLayoutView="84" workbookViewId="0">
      <selection activeCell="B1" sqref="B1:L1"/>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21</v>
      </c>
      <c r="C2" s="7" t="s">
        <v>29</v>
      </c>
      <c r="D2" s="7" t="s">
        <v>30</v>
      </c>
      <c r="E2" s="7" t="s">
        <v>31</v>
      </c>
      <c r="F2" s="7" t="s">
        <v>32</v>
      </c>
      <c r="G2" s="7" t="s">
        <v>33</v>
      </c>
      <c r="H2" s="7" t="s">
        <v>34</v>
      </c>
      <c r="I2" s="7" t="s">
        <v>35</v>
      </c>
      <c r="J2" s="10" t="s">
        <v>29</v>
      </c>
      <c r="K2" s="42"/>
      <c r="L2" s="49"/>
    </row>
    <row r="3" spans="1:12" ht="30" customHeight="1" x14ac:dyDescent="0.25">
      <c r="A3" s="13"/>
      <c r="C3" s="6">
        <f ca="1">IF(DAY(MayDom1)=1,MayDom1-6,MayDom1+1)</f>
        <v>43220</v>
      </c>
      <c r="D3" s="6">
        <f ca="1">IF(DAY(MayDom1)=1,MayDom1-5,MayDom1+2)</f>
        <v>43221</v>
      </c>
      <c r="E3" s="6">
        <f ca="1">IF(DAY(MayDom1)=1,MayDom1-4,MayDom1+3)</f>
        <v>43222</v>
      </c>
      <c r="F3" s="6">
        <f ca="1">IF(DAY(MayDom1)=1,MayDom1-3,MayDom1+4)</f>
        <v>43223</v>
      </c>
      <c r="G3" s="6">
        <f ca="1">IF(DAY(MayDom1)=1,MayDom1-2,MayDom1+5)</f>
        <v>43224</v>
      </c>
      <c r="H3" s="6">
        <f ca="1">IF(DAY(MayDom1)=1,MayDom1-1,MayDom1+6)</f>
        <v>43225</v>
      </c>
      <c r="I3" s="6">
        <f ca="1">IF(DAY(MayDom1)=1,MayDom1,MayDom1+7)</f>
        <v>43226</v>
      </c>
      <c r="J3" s="10"/>
      <c r="K3" s="36"/>
      <c r="L3" s="49"/>
    </row>
    <row r="4" spans="1:12" ht="30" customHeight="1" x14ac:dyDescent="0.25">
      <c r="A4" s="13"/>
      <c r="C4" s="6">
        <f ca="1">IF(DAY(MayDom1)=1,MayDom1+1,MayDom1+8)</f>
        <v>43227</v>
      </c>
      <c r="D4" s="6">
        <f ca="1">IF(DAY(MayDom1)=1,MayDom1+2,MayDom1+9)</f>
        <v>43228</v>
      </c>
      <c r="E4" s="6">
        <f ca="1">IF(DAY(MayDom1)=1,MayDom1+3,MayDom1+10)</f>
        <v>43229</v>
      </c>
      <c r="F4" s="6">
        <f ca="1">IF(DAY(MayDom1)=1,MayDom1+4,MayDom1+11)</f>
        <v>43230</v>
      </c>
      <c r="G4" s="6">
        <f ca="1">IF(DAY(MayDom1)=1,MayDom1+5,MayDom1+12)</f>
        <v>43231</v>
      </c>
      <c r="H4" s="6">
        <f ca="1">IF(DAY(MayDom1)=1,MayDom1+6,MayDom1+13)</f>
        <v>43232</v>
      </c>
      <c r="I4" s="6">
        <f ca="1">IF(DAY(MayDom1)=1,MayDom1+7,MayDom1+14)</f>
        <v>43233</v>
      </c>
      <c r="J4" s="10"/>
      <c r="K4" s="36"/>
      <c r="L4" s="49"/>
    </row>
    <row r="5" spans="1:12" ht="30" customHeight="1" x14ac:dyDescent="0.25">
      <c r="A5" s="13"/>
      <c r="C5" s="6">
        <f ca="1">IF(DAY(MayDom1)=1,MayDom1+8,MayDom1+15)</f>
        <v>43234</v>
      </c>
      <c r="D5" s="6">
        <f ca="1">IF(DAY(MayDom1)=1,MayDom1+9,MayDom1+16)</f>
        <v>43235</v>
      </c>
      <c r="E5" s="6">
        <f ca="1">IF(DAY(MayDom1)=1,MayDom1+10,MayDom1+17)</f>
        <v>43236</v>
      </c>
      <c r="F5" s="6">
        <f ca="1">IF(DAY(MayDom1)=1,MayDom1+11,MayDom1+18)</f>
        <v>43237</v>
      </c>
      <c r="G5" s="6">
        <f ca="1">IF(DAY(MayDom1)=1,MayDom1+12,MayDom1+19)</f>
        <v>43238</v>
      </c>
      <c r="H5" s="6">
        <f ca="1">IF(DAY(MayDom1)=1,MayDom1+13,MayDom1+20)</f>
        <v>43239</v>
      </c>
      <c r="I5" s="6">
        <f ca="1">IF(DAY(MayDom1)=1,MayDom1+14,MayDom1+21)</f>
        <v>43240</v>
      </c>
      <c r="J5" s="10"/>
      <c r="K5" s="36"/>
      <c r="L5" s="49"/>
    </row>
    <row r="6" spans="1:12" ht="30" customHeight="1" x14ac:dyDescent="0.25">
      <c r="A6" s="13"/>
      <c r="C6" s="6">
        <f ca="1">IF(DAY(MayDom1)=1,MayDom1+15,MayDom1+22)</f>
        <v>43241</v>
      </c>
      <c r="D6" s="6">
        <f ca="1">IF(DAY(MayDom1)=1,MayDom1+16,MayDom1+23)</f>
        <v>43242</v>
      </c>
      <c r="E6" s="6">
        <f ca="1">IF(DAY(MayDom1)=1,MayDom1+17,MayDom1+24)</f>
        <v>43243</v>
      </c>
      <c r="F6" s="6">
        <f ca="1">IF(DAY(MayDom1)=1,MayDom1+18,MayDom1+25)</f>
        <v>43244</v>
      </c>
      <c r="G6" s="6">
        <f ca="1">IF(DAY(MayDom1)=1,MayDom1+19,MayDom1+26)</f>
        <v>43245</v>
      </c>
      <c r="H6" s="6">
        <f ca="1">IF(DAY(MayDom1)=1,MayDom1+20,MayDom1+27)</f>
        <v>43246</v>
      </c>
      <c r="I6" s="6">
        <f ca="1">IF(DAY(MayDom1)=1,MayDom1+21,MayDom1+28)</f>
        <v>43247</v>
      </c>
      <c r="J6" s="10"/>
      <c r="K6" s="36"/>
      <c r="L6" s="49"/>
    </row>
    <row r="7" spans="1:12" ht="30" customHeight="1" x14ac:dyDescent="0.25">
      <c r="A7" s="13"/>
      <c r="C7" s="6">
        <f ca="1">IF(DAY(MayDom1)=1,MayDom1+22,MayDom1+29)</f>
        <v>43248</v>
      </c>
      <c r="D7" s="6">
        <f ca="1">IF(DAY(MayDom1)=1,MayDom1+23,MayDom1+30)</f>
        <v>43249</v>
      </c>
      <c r="E7" s="6">
        <f ca="1">IF(DAY(MayDom1)=1,MayDom1+24,MayDom1+31)</f>
        <v>43250</v>
      </c>
      <c r="F7" s="6">
        <f ca="1">IF(DAY(MayDom1)=1,MayDom1+25,MayDom1+32)</f>
        <v>43251</v>
      </c>
      <c r="G7" s="6">
        <f ca="1">IF(DAY(MayDom1)=1,MayDom1+26,MayDom1+33)</f>
        <v>43252</v>
      </c>
      <c r="H7" s="6">
        <f ca="1">IF(DAY(MayDom1)=1,MayDom1+27,MayDom1+34)</f>
        <v>43253</v>
      </c>
      <c r="I7" s="6">
        <f ca="1">IF(DAY(MayDom1)=1,MayDom1+28,MayDom1+35)</f>
        <v>43254</v>
      </c>
      <c r="J7" s="20"/>
      <c r="K7" s="35"/>
      <c r="L7" s="18"/>
    </row>
    <row r="8" spans="1:12" ht="30" customHeight="1" x14ac:dyDescent="0.25">
      <c r="A8" s="13"/>
      <c r="B8" s="18"/>
      <c r="C8" s="6">
        <f ca="1">IF(DAY(MayDom1)=1,MayDom1+29,MayDom1+36)</f>
        <v>43255</v>
      </c>
      <c r="D8" s="6">
        <f ca="1">IF(DAY(MayDom1)=1,MayDom1+30,MayDom1+37)</f>
        <v>43256</v>
      </c>
      <c r="E8" s="6">
        <f ca="1">IF(DAY(MayDom1)=1,MayDom1+31,MayDom1+38)</f>
        <v>43257</v>
      </c>
      <c r="F8" s="6">
        <f ca="1">IF(DAY(MayDom1)=1,MayDom1+32,MayDom1+39)</f>
        <v>43258</v>
      </c>
      <c r="G8" s="6">
        <f ca="1">IF(DAY(MayDom1)=1,MayDom1+33,MayDom1+40)</f>
        <v>43259</v>
      </c>
      <c r="H8" s="6">
        <f ca="1">IF(DAY(MayDom1)=1,MayDom1+34,MayDom1+41)</f>
        <v>43260</v>
      </c>
      <c r="I8" s="6">
        <f ca="1">IF(DAY(MayDom1)=1,MayDom1+35,MayDom1+42)</f>
        <v>43261</v>
      </c>
      <c r="J8" s="10" t="s">
        <v>30</v>
      </c>
      <c r="K8" s="37">
        <v>1</v>
      </c>
      <c r="L8" s="49" t="s">
        <v>48</v>
      </c>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v>15</v>
      </c>
      <c r="L10" s="49" t="s">
        <v>47</v>
      </c>
    </row>
    <row r="11" spans="1:12" ht="30" customHeight="1" x14ac:dyDescent="0.25">
      <c r="A11" s="26" t="s">
        <v>0</v>
      </c>
      <c r="B11" s="25" t="s">
        <v>29</v>
      </c>
      <c r="C11" s="65" t="s">
        <v>30</v>
      </c>
      <c r="D11" s="66"/>
      <c r="E11" s="65" t="s">
        <v>31</v>
      </c>
      <c r="F11" s="66"/>
      <c r="G11" s="65" t="s">
        <v>32</v>
      </c>
      <c r="H11" s="66"/>
      <c r="I11" s="3" t="s">
        <v>33</v>
      </c>
      <c r="J11" s="10"/>
      <c r="K11" s="36"/>
      <c r="L11" s="49"/>
    </row>
    <row r="12" spans="1:12" ht="30" customHeight="1" x14ac:dyDescent="0.25">
      <c r="A12" s="26" t="s">
        <v>1</v>
      </c>
      <c r="B12" s="56"/>
      <c r="C12" s="72"/>
      <c r="D12" s="72"/>
      <c r="E12" s="72"/>
      <c r="F12" s="72"/>
      <c r="G12" s="72"/>
      <c r="H12" s="72"/>
      <c r="I12" s="22"/>
      <c r="J12" s="10"/>
      <c r="K12" s="36"/>
      <c r="L12" s="49"/>
    </row>
    <row r="13" spans="1:12" ht="30" customHeight="1" x14ac:dyDescent="0.25">
      <c r="A13" s="26" t="s">
        <v>2</v>
      </c>
      <c r="B13" s="27"/>
      <c r="C13" s="67"/>
      <c r="D13" s="67"/>
      <c r="E13" s="67"/>
      <c r="F13" s="67"/>
      <c r="G13" s="67"/>
      <c r="H13" s="67"/>
      <c r="I13" s="54"/>
      <c r="J13" s="20"/>
      <c r="K13" s="35"/>
      <c r="L13" s="18"/>
    </row>
    <row r="14" spans="1:12" ht="30" customHeight="1" x14ac:dyDescent="0.25">
      <c r="A14" s="26" t="s">
        <v>1</v>
      </c>
      <c r="B14" s="56"/>
      <c r="C14" s="72"/>
      <c r="D14" s="72"/>
      <c r="E14" s="72"/>
      <c r="F14" s="72"/>
      <c r="G14" s="72"/>
      <c r="H14" s="72"/>
      <c r="I14" s="22">
        <v>0.76041666666666663</v>
      </c>
      <c r="J14" s="32" t="s">
        <v>31</v>
      </c>
      <c r="K14" s="37"/>
      <c r="L14" s="49"/>
    </row>
    <row r="15" spans="1:12" ht="30" customHeight="1" x14ac:dyDescent="0.25">
      <c r="A15" s="26" t="s">
        <v>2</v>
      </c>
      <c r="B15" s="27"/>
      <c r="C15" s="67"/>
      <c r="D15" s="67"/>
      <c r="E15" s="67"/>
      <c r="F15" s="67"/>
      <c r="G15" s="67"/>
      <c r="H15" s="67"/>
      <c r="I15" s="27" t="s">
        <v>38</v>
      </c>
      <c r="J15" s="10"/>
      <c r="K15" s="36"/>
      <c r="L15" s="49"/>
    </row>
    <row r="16" spans="1:12" ht="30" customHeight="1" x14ac:dyDescent="0.25">
      <c r="A16" s="26" t="s">
        <v>1</v>
      </c>
      <c r="B16" s="56"/>
      <c r="C16" s="72"/>
      <c r="D16" s="72"/>
      <c r="E16" s="72"/>
      <c r="F16" s="72"/>
      <c r="G16" s="72"/>
      <c r="H16" s="72"/>
      <c r="I16" s="24">
        <v>0.82291666666666663</v>
      </c>
      <c r="J16" s="10"/>
      <c r="K16" s="36"/>
      <c r="L16" s="49"/>
    </row>
    <row r="17" spans="1:12" ht="30" customHeight="1" x14ac:dyDescent="0.25">
      <c r="A17" s="26" t="s">
        <v>2</v>
      </c>
      <c r="B17" s="27"/>
      <c r="C17" s="67"/>
      <c r="D17" s="67"/>
      <c r="E17" s="67"/>
      <c r="F17" s="67"/>
      <c r="G17" s="67"/>
      <c r="H17" s="67"/>
      <c r="I17" s="27" t="s">
        <v>41</v>
      </c>
      <c r="J17" s="10"/>
      <c r="K17" s="36"/>
      <c r="L17" s="49"/>
    </row>
    <row r="18" spans="1:12" ht="30" customHeight="1" x14ac:dyDescent="0.25">
      <c r="A18" s="26" t="s">
        <v>1</v>
      </c>
      <c r="B18" s="56"/>
      <c r="C18" s="72">
        <v>0.82986111111111116</v>
      </c>
      <c r="D18" s="72"/>
      <c r="E18" s="72"/>
      <c r="F18" s="72"/>
      <c r="G18" s="72"/>
      <c r="H18" s="72"/>
      <c r="I18" s="22"/>
      <c r="J18" s="10"/>
      <c r="K18" s="36"/>
      <c r="L18" s="49"/>
    </row>
    <row r="19" spans="1:12" ht="30" customHeight="1" x14ac:dyDescent="0.25">
      <c r="A19" s="26" t="s">
        <v>2</v>
      </c>
      <c r="B19" s="27"/>
      <c r="C19" s="76" t="s">
        <v>42</v>
      </c>
      <c r="D19" s="67"/>
      <c r="E19" s="67"/>
      <c r="F19" s="67"/>
      <c r="G19" s="67"/>
      <c r="H19" s="67"/>
      <c r="I19" s="47"/>
      <c r="J19" s="20"/>
      <c r="K19" s="35"/>
      <c r="L19" s="18"/>
    </row>
    <row r="20" spans="1:12" ht="30" customHeight="1" x14ac:dyDescent="0.25">
      <c r="A20" s="26" t="s">
        <v>1</v>
      </c>
      <c r="B20" s="56"/>
      <c r="C20" s="72">
        <v>0.875</v>
      </c>
      <c r="D20" s="72"/>
      <c r="E20" s="72"/>
      <c r="F20" s="72"/>
      <c r="G20" s="72"/>
      <c r="H20" s="72"/>
      <c r="I20" s="22"/>
      <c r="J20" s="10" t="s">
        <v>32</v>
      </c>
      <c r="K20" s="37"/>
      <c r="L20" s="49"/>
    </row>
    <row r="21" spans="1:12" ht="30" customHeight="1" x14ac:dyDescent="0.25">
      <c r="A21" s="26" t="s">
        <v>2</v>
      </c>
      <c r="B21" s="27"/>
      <c r="C21" s="76" t="s">
        <v>41</v>
      </c>
      <c r="D21" s="67"/>
      <c r="E21" s="67"/>
      <c r="F21" s="67"/>
      <c r="G21" s="67"/>
      <c r="H21" s="67"/>
      <c r="I21" s="54"/>
      <c r="J21" s="10"/>
      <c r="K21" s="36"/>
      <c r="L21" s="49"/>
    </row>
    <row r="22" spans="1:12" ht="30" customHeight="1" x14ac:dyDescent="0.25">
      <c r="A22" s="26" t="s">
        <v>1</v>
      </c>
      <c r="B22" s="56"/>
      <c r="C22" s="72" t="s">
        <v>43</v>
      </c>
      <c r="D22" s="72"/>
      <c r="E22" s="72"/>
      <c r="F22" s="72"/>
      <c r="G22" s="72"/>
      <c r="H22" s="72"/>
      <c r="I22" s="22"/>
      <c r="J22" s="10"/>
      <c r="K22" s="36"/>
      <c r="L22" s="49"/>
    </row>
    <row r="23" spans="1:12" ht="30" customHeight="1" x14ac:dyDescent="0.25">
      <c r="A23" s="26" t="s">
        <v>2</v>
      </c>
      <c r="B23" s="27"/>
      <c r="C23" s="75">
        <v>0.96180555555555547</v>
      </c>
      <c r="D23" s="67"/>
      <c r="E23" s="67"/>
      <c r="F23" s="67"/>
      <c r="G23" s="67"/>
      <c r="H23" s="67"/>
      <c r="I23" s="54"/>
      <c r="J23" s="10"/>
      <c r="K23" s="36"/>
      <c r="L23" s="49"/>
    </row>
    <row r="24" spans="1:12" ht="30" customHeight="1" x14ac:dyDescent="0.25">
      <c r="A24" s="26" t="s">
        <v>1</v>
      </c>
      <c r="B24" s="56"/>
      <c r="C24" s="72"/>
      <c r="D24" s="72"/>
      <c r="E24" s="72"/>
      <c r="F24" s="72"/>
      <c r="G24" s="72"/>
      <c r="H24" s="72"/>
      <c r="I24" s="22"/>
      <c r="J24" s="10"/>
      <c r="K24" s="36"/>
      <c r="L24" s="49"/>
    </row>
    <row r="25" spans="1:12" ht="30" customHeight="1" x14ac:dyDescent="0.25">
      <c r="A25" s="26" t="s">
        <v>2</v>
      </c>
      <c r="B25" s="27"/>
      <c r="C25" s="67"/>
      <c r="D25" s="67"/>
      <c r="E25" s="67"/>
      <c r="F25" s="67"/>
      <c r="G25" s="67"/>
      <c r="H25" s="67"/>
      <c r="I25" s="54"/>
      <c r="J25" s="20"/>
      <c r="K25" s="35"/>
      <c r="L25" s="18"/>
    </row>
    <row r="26" spans="1:12" ht="30" customHeight="1" x14ac:dyDescent="0.25">
      <c r="A26" s="26" t="s">
        <v>1</v>
      </c>
      <c r="B26" s="56"/>
      <c r="C26" s="72"/>
      <c r="D26" s="72"/>
      <c r="E26" s="72"/>
      <c r="F26" s="72"/>
      <c r="G26" s="72"/>
      <c r="H26" s="72"/>
      <c r="I26" s="22"/>
      <c r="J26" s="10" t="s">
        <v>33</v>
      </c>
      <c r="K26" s="37"/>
      <c r="L26" s="49"/>
    </row>
    <row r="27" spans="1:12" ht="30" customHeight="1" x14ac:dyDescent="0.25">
      <c r="A27" s="26" t="s">
        <v>2</v>
      </c>
      <c r="B27" s="27"/>
      <c r="C27" s="67"/>
      <c r="D27" s="67"/>
      <c r="E27" s="67"/>
      <c r="F27" s="67"/>
      <c r="G27" s="67"/>
      <c r="H27" s="67"/>
      <c r="I27" s="54"/>
      <c r="J27" s="10"/>
      <c r="K27" s="36"/>
      <c r="L27" s="49"/>
    </row>
    <row r="28" spans="1:12" ht="30" customHeight="1" x14ac:dyDescent="0.25">
      <c r="A28" s="26" t="s">
        <v>1</v>
      </c>
      <c r="B28" s="56"/>
      <c r="C28" s="72"/>
      <c r="D28" s="72"/>
      <c r="E28" s="72"/>
      <c r="F28" s="72"/>
      <c r="G28" s="72"/>
      <c r="H28" s="72"/>
      <c r="I28" s="22"/>
      <c r="J28" s="10"/>
      <c r="K28" s="36"/>
      <c r="L28" s="49"/>
    </row>
    <row r="29" spans="1:12" ht="30" customHeight="1" x14ac:dyDescent="0.25">
      <c r="A29" s="26" t="s">
        <v>2</v>
      </c>
      <c r="B29" s="27"/>
      <c r="C29" s="67"/>
      <c r="D29" s="67"/>
      <c r="E29" s="67"/>
      <c r="F29" s="67"/>
      <c r="G29" s="67"/>
      <c r="H29" s="67"/>
      <c r="I29" s="54"/>
      <c r="J29" s="10"/>
      <c r="K29" s="36">
        <v>25</v>
      </c>
      <c r="L29" s="49" t="s">
        <v>49</v>
      </c>
    </row>
    <row r="30" spans="1:12" ht="30" customHeight="1" x14ac:dyDescent="0.25">
      <c r="A30" s="26" t="s">
        <v>1</v>
      </c>
      <c r="B30" s="56"/>
      <c r="C30" s="72"/>
      <c r="D30" s="72"/>
      <c r="E30" s="72"/>
      <c r="F30" s="72"/>
      <c r="G30" s="72"/>
      <c r="H30" s="72"/>
      <c r="I30" s="22"/>
      <c r="J30" s="10"/>
      <c r="K30" s="36"/>
      <c r="L30" s="49"/>
    </row>
    <row r="31" spans="1:12" ht="30" customHeight="1" x14ac:dyDescent="0.25">
      <c r="A31" s="26" t="s">
        <v>2</v>
      </c>
      <c r="B31" s="28"/>
      <c r="C31" s="69"/>
      <c r="D31" s="69"/>
      <c r="E31" s="69"/>
      <c r="F31" s="69"/>
      <c r="G31" s="69"/>
      <c r="H31" s="69"/>
      <c r="I31" s="55"/>
      <c r="J31" s="45"/>
      <c r="K31" s="42"/>
      <c r="L31" s="49"/>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57" priority="12" stopIfTrue="1">
      <formula>DAY(C3)&gt;8</formula>
    </cfRule>
  </conditionalFormatting>
  <conditionalFormatting sqref="C7:I8">
    <cfRule type="expression" dxfId="56" priority="11" stopIfTrue="1">
      <formula>AND(DAY(C7)&gt;=1,DAY(C7)&lt;=15)</formula>
    </cfRule>
  </conditionalFormatting>
  <conditionalFormatting sqref="C3:I8">
    <cfRule type="expression" dxfId="55" priority="13">
      <formula>VLOOKUP(DAY(C3),AssignmentDays,1,FALSE)=DAY(C3)</formula>
    </cfRule>
  </conditionalFormatting>
  <conditionalFormatting sqref="B13:I13 B15:I15 B17:I17 B19:I19 B21:I21 B23:I23 B25:I25 B27:I27 B29:I29 B31:I31">
    <cfRule type="expression" dxfId="54" priority="4">
      <formula>B13&lt;&gt;""</formula>
    </cfRule>
  </conditionalFormatting>
  <conditionalFormatting sqref="B12:I12 B14:I14 B16:I16 B18:I18 B20:I20 B22:I22 B24:I24 B26:I26 B28:I28 B30:I30">
    <cfRule type="expression" dxfId="53" priority="3">
      <formula>B12&lt;&gt;""</formula>
    </cfRule>
  </conditionalFormatting>
  <conditionalFormatting sqref="B13:I13 B15:I15 B17:I17 B19:I19 B21:I21 B23:I23 B25:I25 B27:I27 B29:I29">
    <cfRule type="expression" dxfId="52" priority="2">
      <formula>COLUMN(B12)&gt;=2</formula>
    </cfRule>
  </conditionalFormatting>
  <conditionalFormatting sqref="B12:I31">
    <cfRule type="expression" dxfId="51" priority="1">
      <formula>COLUMN(B12)&gt;2</formula>
    </cfRule>
  </conditionalFormatting>
  <dataValidations count="13">
    <dataValidation allowBlank="1" showInputMessage="1" showErrorMessage="1" prompt="Escriba la clase en esta fila, de la columna B a la I." sqref="B13" xr:uid="{B36950D4-FAE2-473E-B603-FBD4B36E8975}"/>
    <dataValidation allowBlank="1" showInputMessage="1" showErrorMessage="1" prompt="Escriba la hora en esta fila, de la columna B a la I." sqref="B12" xr:uid="{C4ED7D30-B936-46D7-A833-1CAFAB3A6A22}"/>
    <dataValidation allowBlank="1" showInputMessage="1" showErrorMessage="1" prompt="Si esta fila contiene un número menor que el número o la fila de números anterior, en ese caso, esta fila contiene fechas para el próximo mes del calendario." sqref="C8" xr:uid="{00000000-0002-0000-0400-000002000000}"/>
    <dataValidation allowBlank="1" showInputMessage="1" showErrorMessage="1" prompt="Si esta celda no contiene el número 1, se trata de un día del mes anterior. Las celdas C3 a I8 contienen fechas para el mes actual." sqref="C3" xr:uid="{00000000-0002-0000-0400-000003000000}"/>
    <dataValidation allowBlank="1" showInputMessage="1" showErrorMessage="1" prompt="Las celdas C2 a I2 contienen días de la semana." sqref="C2" xr:uid="{00000000-0002-0000-04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400-000005000000}"/>
    <dataValidation allowBlank="1" showInputMessage="1" showErrorMessage="1" prompt="El año se actualiza automáticamente. Para cambiar el año, actualice la celda B1 en la hoja de cálculo de Ene." sqref="B1" xr:uid="{00000000-0002-0000-0400-000006000000}"/>
    <dataValidation allowBlank="1" showInputMessage="1" showErrorMessage="1" prompt="El calendario de mayo resalta automáticamente las entradas de la lista de tareas para el mes. Las fuentes más oscuras indican tareas. Las fuentes más claras indican días que pertenecen al mes anterior o siguiente." sqref="B2" xr:uid="{00000000-0002-0000-04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400-000008000000}"/>
    <dataValidation allowBlank="1" showInputMessage="1" showErrorMessage="1" prompt="Escriba en esta columna los detalles de la tarea correspondientes al día de la semana de la columna J y al día de la columna K del mes del calendario de la izquierda." sqref="L1" xr:uid="{E95D2018-1FD6-4AB0-A77E-F96110BB55E2}"/>
    <dataValidation allowBlank="1" showInputMessage="1" showErrorMessage="1" prompt="Escriba en esta columna el día de la tarea del mes que corresponda al día de la semana de la columna J. Esta fecha resaltará la tarea en el calendario de la izquierda." sqref="K1" xr:uid="{00000000-0002-0000-0400-00000A000000}"/>
    <dataValidation allowBlank="1" showInputMessage="1" showErrorMessage="1" prompt="Los días de la semana se encuentran en esta fila, del lunes al viernes." sqref="B11" xr:uid="{00000000-0002-0000-04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4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L31"/>
  <sheetViews>
    <sheetView showGridLines="0" zoomScale="70" zoomScaleNormal="70" zoomScalePageLayoutView="84" workbookViewId="0">
      <selection activeCell="B2" sqref="B2"/>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22</v>
      </c>
      <c r="C2" s="7" t="s">
        <v>29</v>
      </c>
      <c r="D2" s="7" t="s">
        <v>30</v>
      </c>
      <c r="E2" s="7" t="s">
        <v>31</v>
      </c>
      <c r="F2" s="7" t="s">
        <v>32</v>
      </c>
      <c r="G2" s="7" t="s">
        <v>33</v>
      </c>
      <c r="H2" s="7" t="s">
        <v>34</v>
      </c>
      <c r="I2" s="7" t="s">
        <v>35</v>
      </c>
      <c r="J2" s="10" t="s">
        <v>29</v>
      </c>
      <c r="K2" s="42"/>
      <c r="L2" s="49"/>
    </row>
    <row r="3" spans="1:12" ht="30" customHeight="1" x14ac:dyDescent="0.25">
      <c r="A3" s="13"/>
      <c r="C3" s="6">
        <f ca="1">IF(DAY(JunDom1)=1,JunDom1-6,JunDom1+1)</f>
        <v>43248</v>
      </c>
      <c r="D3" s="6">
        <f ca="1">IF(DAY(JunDom1)=1,JunDom1-5,JunDom1+2)</f>
        <v>43249</v>
      </c>
      <c r="E3" s="6">
        <f ca="1">IF(DAY(JunDom1)=1,JunDom1-4,JunDom1+3)</f>
        <v>43250</v>
      </c>
      <c r="F3" s="6">
        <f ca="1">IF(DAY(JunDom1)=1,JunDom1-3,JunDom1+4)</f>
        <v>43251</v>
      </c>
      <c r="G3" s="6">
        <f ca="1">IF(DAY(JunDom1)=1,JunDom1-2,JunDom1+5)</f>
        <v>43252</v>
      </c>
      <c r="H3" s="6">
        <f ca="1">IF(DAY(JunDom1)=1,JunDom1-1,JunDom1+6)</f>
        <v>43253</v>
      </c>
      <c r="I3" s="6">
        <f ca="1">IF(DAY(JunDom1)=1,JunDom1,JunDom1+7)</f>
        <v>43254</v>
      </c>
      <c r="J3" s="10"/>
      <c r="K3" s="36">
        <v>12</v>
      </c>
      <c r="L3" s="49" t="s">
        <v>52</v>
      </c>
    </row>
    <row r="4" spans="1:12" ht="30" customHeight="1" x14ac:dyDescent="0.25">
      <c r="A4" s="13"/>
      <c r="C4" s="6">
        <f ca="1">IF(DAY(JunDom1)=1,JunDom1+1,JunDom1+8)</f>
        <v>43255</v>
      </c>
      <c r="D4" s="6">
        <f ca="1">IF(DAY(JunDom1)=1,JunDom1+2,JunDom1+9)</f>
        <v>43256</v>
      </c>
      <c r="E4" s="6">
        <f ca="1">IF(DAY(JunDom1)=1,JunDom1+3,JunDom1+10)</f>
        <v>43257</v>
      </c>
      <c r="F4" s="6">
        <f ca="1">IF(DAY(JunDom1)=1,JunDom1+4,JunDom1+11)</f>
        <v>43258</v>
      </c>
      <c r="G4" s="6">
        <f ca="1">IF(DAY(JunDom1)=1,JunDom1+5,JunDom1+12)</f>
        <v>43259</v>
      </c>
      <c r="H4" s="6">
        <f ca="1">IF(DAY(JunDom1)=1,JunDom1+6,JunDom1+13)</f>
        <v>43260</v>
      </c>
      <c r="I4" s="6">
        <f ca="1">IF(DAY(JunDom1)=1,JunDom1+7,JunDom1+14)</f>
        <v>43261</v>
      </c>
      <c r="J4" s="10"/>
      <c r="K4" s="36"/>
      <c r="L4" s="49"/>
    </row>
    <row r="5" spans="1:12" ht="30" customHeight="1" x14ac:dyDescent="0.25">
      <c r="A5" s="13"/>
      <c r="C5" s="6">
        <f ca="1">IF(DAY(JunDom1)=1,JunDom1+8,JunDom1+15)</f>
        <v>43262</v>
      </c>
      <c r="D5" s="6">
        <f ca="1">IF(DAY(JunDom1)=1,JunDom1+9,JunDom1+16)</f>
        <v>43263</v>
      </c>
      <c r="E5" s="6">
        <f ca="1">IF(DAY(JunDom1)=1,JunDom1+10,JunDom1+17)</f>
        <v>43264</v>
      </c>
      <c r="F5" s="6">
        <f ca="1">IF(DAY(JunDom1)=1,JunDom1+11,JunDom1+18)</f>
        <v>43265</v>
      </c>
      <c r="G5" s="6">
        <f ca="1">IF(DAY(JunDom1)=1,JunDom1+12,JunDom1+19)</f>
        <v>43266</v>
      </c>
      <c r="H5" s="6">
        <f ca="1">IF(DAY(JunDom1)=1,JunDom1+13,JunDom1+20)</f>
        <v>43267</v>
      </c>
      <c r="I5" s="6">
        <f ca="1">IF(DAY(JunDom1)=1,JunDom1+14,JunDom1+21)</f>
        <v>43268</v>
      </c>
      <c r="J5" s="10"/>
      <c r="K5" s="36">
        <v>26</v>
      </c>
      <c r="L5" s="49" t="s">
        <v>53</v>
      </c>
    </row>
    <row r="6" spans="1:12" ht="30" customHeight="1" x14ac:dyDescent="0.25">
      <c r="A6" s="13"/>
      <c r="C6" s="6">
        <f ca="1">IF(DAY(JunDom1)=1,JunDom1+15,JunDom1+22)</f>
        <v>43269</v>
      </c>
      <c r="D6" s="6">
        <f ca="1">IF(DAY(JunDom1)=1,JunDom1+16,JunDom1+23)</f>
        <v>43270</v>
      </c>
      <c r="E6" s="6">
        <f ca="1">IF(DAY(JunDom1)=1,JunDom1+17,JunDom1+24)</f>
        <v>43271</v>
      </c>
      <c r="F6" s="6">
        <f ca="1">IF(DAY(JunDom1)=1,JunDom1+18,JunDom1+25)</f>
        <v>43272</v>
      </c>
      <c r="G6" s="6">
        <f ca="1">IF(DAY(JunDom1)=1,JunDom1+19,JunDom1+26)</f>
        <v>43273</v>
      </c>
      <c r="H6" s="6">
        <f ca="1">IF(DAY(JunDom1)=1,JunDom1+20,JunDom1+27)</f>
        <v>43274</v>
      </c>
      <c r="I6" s="6">
        <f ca="1">IF(DAY(JunDom1)=1,JunDom1+21,JunDom1+28)</f>
        <v>43275</v>
      </c>
      <c r="J6" s="10"/>
      <c r="K6" s="36"/>
      <c r="L6" s="49"/>
    </row>
    <row r="7" spans="1:12" ht="30" customHeight="1" x14ac:dyDescent="0.25">
      <c r="A7" s="13"/>
      <c r="C7" s="6">
        <f ca="1">IF(DAY(JunDom1)=1,JunDom1+22,JunDom1+29)</f>
        <v>43276</v>
      </c>
      <c r="D7" s="6">
        <f ca="1">IF(DAY(JunDom1)=1,JunDom1+23,JunDom1+30)</f>
        <v>43277</v>
      </c>
      <c r="E7" s="6">
        <f ca="1">IF(DAY(JunDom1)=1,JunDom1+24,JunDom1+31)</f>
        <v>43278</v>
      </c>
      <c r="F7" s="6">
        <f ca="1">IF(DAY(JunDom1)=1,JunDom1+25,JunDom1+32)</f>
        <v>43279</v>
      </c>
      <c r="G7" s="6">
        <f ca="1">IF(DAY(JunDom1)=1,JunDom1+26,JunDom1+33)</f>
        <v>43280</v>
      </c>
      <c r="H7" s="6">
        <f ca="1">IF(DAY(JunDom1)=1,JunDom1+27,JunDom1+34)</f>
        <v>43281</v>
      </c>
      <c r="I7" s="6">
        <f ca="1">IF(DAY(JunDom1)=1,JunDom1+28,JunDom1+35)</f>
        <v>43282</v>
      </c>
      <c r="J7" s="38"/>
      <c r="K7" s="35"/>
      <c r="L7" s="52"/>
    </row>
    <row r="8" spans="1:12" ht="30" customHeight="1" x14ac:dyDescent="0.25">
      <c r="A8" s="13"/>
      <c r="B8" s="18"/>
      <c r="C8" s="6">
        <f ca="1">IF(DAY(JunDom1)=1,JunDom1+29,JunDom1+36)</f>
        <v>43283</v>
      </c>
      <c r="D8" s="6">
        <f ca="1">IF(DAY(JunDom1)=1,JunDom1+30,JunDom1+37)</f>
        <v>43284</v>
      </c>
      <c r="E8" s="6">
        <f ca="1">IF(DAY(JunDom1)=1,JunDom1+31,JunDom1+38)</f>
        <v>43285</v>
      </c>
      <c r="F8" s="6">
        <f ca="1">IF(DAY(JunDom1)=1,JunDom1+32,JunDom1+39)</f>
        <v>43286</v>
      </c>
      <c r="G8" s="6">
        <f ca="1">IF(DAY(JunDom1)=1,JunDom1+33,JunDom1+40)</f>
        <v>43287</v>
      </c>
      <c r="H8" s="6">
        <f ca="1">IF(DAY(JunDom1)=1,JunDom1+34,JunDom1+41)</f>
        <v>43288</v>
      </c>
      <c r="I8" s="6">
        <f ca="1">IF(DAY(JunDom1)=1,JunDom1+35,JunDom1+42)</f>
        <v>43289</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5" t="s">
        <v>30</v>
      </c>
      <c r="D11" s="66"/>
      <c r="E11" s="65" t="s">
        <v>31</v>
      </c>
      <c r="F11" s="66"/>
      <c r="G11" s="65" t="s">
        <v>32</v>
      </c>
      <c r="H11" s="66"/>
      <c r="I11" s="3" t="s">
        <v>33</v>
      </c>
      <c r="J11" s="10"/>
      <c r="K11" s="36"/>
      <c r="L11" s="49"/>
    </row>
    <row r="12" spans="1:12" ht="30" customHeight="1" x14ac:dyDescent="0.25">
      <c r="A12" s="26" t="s">
        <v>1</v>
      </c>
      <c r="B12" s="56"/>
      <c r="C12" s="72"/>
      <c r="D12" s="72"/>
      <c r="E12" s="72"/>
      <c r="F12" s="72"/>
      <c r="G12" s="72"/>
      <c r="H12" s="72"/>
      <c r="I12" s="22"/>
      <c r="J12" s="10"/>
      <c r="K12" s="36"/>
      <c r="L12" s="49"/>
    </row>
    <row r="13" spans="1:12" ht="30" customHeight="1" x14ac:dyDescent="0.25">
      <c r="A13" s="26" t="s">
        <v>2</v>
      </c>
      <c r="B13" s="27"/>
      <c r="C13" s="67"/>
      <c r="D13" s="67"/>
      <c r="E13" s="67"/>
      <c r="F13" s="67"/>
      <c r="G13" s="67"/>
      <c r="H13" s="67"/>
      <c r="I13" s="54"/>
      <c r="J13" s="20"/>
      <c r="K13" s="35"/>
      <c r="L13" s="18"/>
    </row>
    <row r="14" spans="1:12" ht="30" customHeight="1" x14ac:dyDescent="0.25">
      <c r="A14" s="26" t="s">
        <v>1</v>
      </c>
      <c r="B14" s="56"/>
      <c r="C14" s="72"/>
      <c r="D14" s="72"/>
      <c r="E14" s="72"/>
      <c r="F14" s="72"/>
      <c r="G14" s="72"/>
      <c r="H14" s="72"/>
      <c r="I14" s="22">
        <v>0.76041666666666663</v>
      </c>
      <c r="J14" s="10" t="s">
        <v>31</v>
      </c>
      <c r="K14" s="37"/>
      <c r="L14" s="49"/>
    </row>
    <row r="15" spans="1:12" ht="30" customHeight="1" x14ac:dyDescent="0.25">
      <c r="A15" s="26" t="s">
        <v>2</v>
      </c>
      <c r="B15" s="27"/>
      <c r="C15" s="67"/>
      <c r="D15" s="67"/>
      <c r="E15" s="67"/>
      <c r="F15" s="67"/>
      <c r="G15" s="67"/>
      <c r="H15" s="67"/>
      <c r="I15" s="27" t="s">
        <v>38</v>
      </c>
      <c r="J15" s="10"/>
      <c r="K15" s="36"/>
      <c r="L15" s="49"/>
    </row>
    <row r="16" spans="1:12" ht="30" customHeight="1" x14ac:dyDescent="0.25">
      <c r="A16" s="26" t="s">
        <v>1</v>
      </c>
      <c r="B16" s="56"/>
      <c r="C16" s="72"/>
      <c r="D16" s="72"/>
      <c r="E16" s="72"/>
      <c r="F16" s="72"/>
      <c r="G16" s="72"/>
      <c r="H16" s="72"/>
      <c r="I16" s="24">
        <v>0.82291666666666663</v>
      </c>
      <c r="J16" s="10"/>
      <c r="K16" s="36">
        <v>20</v>
      </c>
      <c r="L16" s="59" t="s">
        <v>51</v>
      </c>
    </row>
    <row r="17" spans="1:12" ht="30" customHeight="1" x14ac:dyDescent="0.25">
      <c r="A17" s="26" t="s">
        <v>2</v>
      </c>
      <c r="B17" s="27"/>
      <c r="C17" s="67"/>
      <c r="D17" s="67"/>
      <c r="E17" s="67"/>
      <c r="F17" s="67"/>
      <c r="G17" s="67"/>
      <c r="H17" s="67"/>
      <c r="I17" s="27" t="s">
        <v>41</v>
      </c>
      <c r="J17" s="10"/>
      <c r="K17" s="36"/>
      <c r="L17" s="49"/>
    </row>
    <row r="18" spans="1:12" ht="30" customHeight="1" x14ac:dyDescent="0.25">
      <c r="A18" s="26" t="s">
        <v>1</v>
      </c>
      <c r="B18" s="56"/>
      <c r="C18" s="72">
        <v>0.82986111111111116</v>
      </c>
      <c r="D18" s="72"/>
      <c r="E18" s="72"/>
      <c r="F18" s="72"/>
      <c r="G18" s="72"/>
      <c r="H18" s="72"/>
      <c r="I18" s="22"/>
      <c r="J18" s="10"/>
      <c r="K18" s="36"/>
      <c r="L18" s="49"/>
    </row>
    <row r="19" spans="1:12" ht="30" customHeight="1" x14ac:dyDescent="0.25">
      <c r="A19" s="26" t="s">
        <v>2</v>
      </c>
      <c r="B19" s="27"/>
      <c r="C19" s="76" t="s">
        <v>42</v>
      </c>
      <c r="D19" s="67"/>
      <c r="E19" s="67"/>
      <c r="F19" s="67"/>
      <c r="G19" s="67"/>
      <c r="H19" s="67"/>
      <c r="I19" s="47"/>
      <c r="J19" s="20"/>
      <c r="K19" s="35"/>
      <c r="L19" s="50"/>
    </row>
    <row r="20" spans="1:12" ht="30" customHeight="1" x14ac:dyDescent="0.25">
      <c r="A20" s="26" t="s">
        <v>1</v>
      </c>
      <c r="B20" s="56"/>
      <c r="C20" s="72">
        <v>0.875</v>
      </c>
      <c r="D20" s="72"/>
      <c r="E20" s="72"/>
      <c r="F20" s="72"/>
      <c r="G20" s="72"/>
      <c r="H20" s="72"/>
      <c r="I20" s="22"/>
      <c r="J20" s="10" t="s">
        <v>32</v>
      </c>
      <c r="K20" s="37"/>
      <c r="L20" s="49"/>
    </row>
    <row r="21" spans="1:12" ht="30" customHeight="1" x14ac:dyDescent="0.25">
      <c r="A21" s="26" t="s">
        <v>2</v>
      </c>
      <c r="B21" s="27"/>
      <c r="C21" s="76" t="s">
        <v>41</v>
      </c>
      <c r="D21" s="67"/>
      <c r="E21" s="67"/>
      <c r="F21" s="67"/>
      <c r="G21" s="67"/>
      <c r="H21" s="67"/>
      <c r="I21" s="54"/>
      <c r="J21" s="10"/>
      <c r="K21" s="36"/>
      <c r="L21" s="49"/>
    </row>
    <row r="22" spans="1:12" ht="30" customHeight="1" x14ac:dyDescent="0.25">
      <c r="A22" s="26" t="s">
        <v>1</v>
      </c>
      <c r="B22" s="56"/>
      <c r="C22" s="72" t="s">
        <v>43</v>
      </c>
      <c r="D22" s="72"/>
      <c r="E22" s="72"/>
      <c r="F22" s="72"/>
      <c r="G22" s="72"/>
      <c r="H22" s="72"/>
      <c r="I22" s="22"/>
      <c r="J22" s="10"/>
      <c r="K22" s="36"/>
      <c r="L22" s="49"/>
    </row>
    <row r="23" spans="1:12" ht="30" customHeight="1" x14ac:dyDescent="0.25">
      <c r="A23" s="26" t="s">
        <v>2</v>
      </c>
      <c r="B23" s="27"/>
      <c r="C23" s="75">
        <v>0.96180555555555547</v>
      </c>
      <c r="D23" s="67"/>
      <c r="E23" s="67"/>
      <c r="F23" s="67"/>
      <c r="G23" s="67"/>
      <c r="H23" s="67"/>
      <c r="I23" s="54"/>
      <c r="J23" s="10"/>
      <c r="K23" s="36"/>
      <c r="L23" s="49"/>
    </row>
    <row r="24" spans="1:12" ht="30" customHeight="1" x14ac:dyDescent="0.25">
      <c r="A24" s="26" t="s">
        <v>1</v>
      </c>
      <c r="B24" s="56"/>
      <c r="C24" s="72"/>
      <c r="D24" s="72"/>
      <c r="E24" s="72"/>
      <c r="F24" s="72"/>
      <c r="G24" s="72"/>
      <c r="H24" s="72"/>
      <c r="I24" s="22"/>
      <c r="J24" s="10"/>
      <c r="K24" s="36"/>
      <c r="L24" s="49"/>
    </row>
    <row r="25" spans="1:12" ht="30" customHeight="1" x14ac:dyDescent="0.25">
      <c r="A25" s="26" t="s">
        <v>2</v>
      </c>
      <c r="B25" s="27"/>
      <c r="C25" s="67"/>
      <c r="D25" s="67"/>
      <c r="E25" s="67"/>
      <c r="F25" s="67"/>
      <c r="G25" s="67"/>
      <c r="H25" s="67"/>
      <c r="I25" s="54"/>
      <c r="J25" s="20"/>
      <c r="K25" s="35"/>
      <c r="L25" s="50"/>
    </row>
    <row r="26" spans="1:12" ht="30" customHeight="1" x14ac:dyDescent="0.25">
      <c r="A26" s="26" t="s">
        <v>1</v>
      </c>
      <c r="B26" s="56"/>
      <c r="C26" s="72"/>
      <c r="D26" s="72"/>
      <c r="E26" s="72"/>
      <c r="F26" s="72"/>
      <c r="G26" s="72"/>
      <c r="H26" s="72"/>
      <c r="I26" s="22"/>
      <c r="J26" s="10" t="s">
        <v>33</v>
      </c>
      <c r="K26" s="36">
        <v>29</v>
      </c>
      <c r="L26" s="49" t="s">
        <v>54</v>
      </c>
    </row>
    <row r="27" spans="1:12" ht="30" customHeight="1" x14ac:dyDescent="0.25">
      <c r="A27" s="26" t="s">
        <v>2</v>
      </c>
      <c r="B27" s="27"/>
      <c r="C27" s="67"/>
      <c r="D27" s="67"/>
      <c r="E27" s="67"/>
      <c r="F27" s="67"/>
      <c r="G27" s="67"/>
      <c r="H27" s="67"/>
      <c r="I27" s="54"/>
      <c r="J27" s="10"/>
      <c r="K27" s="36"/>
      <c r="L27" s="49"/>
    </row>
    <row r="28" spans="1:12" ht="30" customHeight="1" x14ac:dyDescent="0.25">
      <c r="A28" s="26" t="s">
        <v>1</v>
      </c>
      <c r="B28" s="56"/>
      <c r="C28" s="72"/>
      <c r="D28" s="72"/>
      <c r="E28" s="72"/>
      <c r="F28" s="72"/>
      <c r="G28" s="72"/>
      <c r="H28" s="72"/>
      <c r="I28" s="22"/>
      <c r="J28" s="10"/>
      <c r="K28" s="36"/>
      <c r="L28" s="49"/>
    </row>
    <row r="29" spans="1:12" ht="30" customHeight="1" x14ac:dyDescent="0.25">
      <c r="A29" s="26" t="s">
        <v>2</v>
      </c>
      <c r="B29" s="27"/>
      <c r="C29" s="67"/>
      <c r="D29" s="67"/>
      <c r="E29" s="67"/>
      <c r="F29" s="67"/>
      <c r="G29" s="67"/>
      <c r="H29" s="67"/>
      <c r="I29" s="54"/>
      <c r="J29" s="10"/>
      <c r="K29" s="36"/>
      <c r="L29" s="49"/>
    </row>
    <row r="30" spans="1:12" ht="30" customHeight="1" x14ac:dyDescent="0.25">
      <c r="A30" s="26" t="s">
        <v>1</v>
      </c>
      <c r="B30" s="56"/>
      <c r="C30" s="72"/>
      <c r="D30" s="72"/>
      <c r="E30" s="72"/>
      <c r="F30" s="72"/>
      <c r="G30" s="72"/>
      <c r="H30" s="72"/>
      <c r="I30" s="22"/>
      <c r="J30" s="10"/>
      <c r="K30" s="36"/>
      <c r="L30" s="49"/>
    </row>
    <row r="31" spans="1:12" ht="30" customHeight="1" x14ac:dyDescent="0.25">
      <c r="A31" s="26" t="s">
        <v>2</v>
      </c>
      <c r="B31" s="28"/>
      <c r="C31" s="69"/>
      <c r="D31" s="69"/>
      <c r="E31" s="69"/>
      <c r="F31" s="69"/>
      <c r="G31" s="69"/>
      <c r="H31" s="69"/>
      <c r="I31" s="55"/>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50" priority="10" stopIfTrue="1">
      <formula>DAY(C3)&gt;8</formula>
    </cfRule>
  </conditionalFormatting>
  <conditionalFormatting sqref="C7:I8">
    <cfRule type="expression" dxfId="49" priority="9" stopIfTrue="1">
      <formula>AND(DAY(C7)&gt;=1,DAY(C7)&lt;=15)</formula>
    </cfRule>
  </conditionalFormatting>
  <conditionalFormatting sqref="C3:I8">
    <cfRule type="expression" dxfId="48" priority="11">
      <formula>VLOOKUP(DAY(C3),AssignmentDays,1,FALSE)=DAY(C3)</formula>
    </cfRule>
  </conditionalFormatting>
  <conditionalFormatting sqref="B13:I13 B15:I15 B17:I17 B19:I19 B21:I21 B23:I23 B25:I25 B27:I27 B29:I29 B31:I31">
    <cfRule type="expression" dxfId="47" priority="4">
      <formula>B13&lt;&gt;""</formula>
    </cfRule>
  </conditionalFormatting>
  <conditionalFormatting sqref="B12:I12 B14:I14 B16:I16 B18:I18 B20:I20 B22:I22 B24:I24 B26:I26 B28:I28 B30:I30">
    <cfRule type="expression" dxfId="46" priority="3">
      <formula>B12&lt;&gt;""</formula>
    </cfRule>
  </conditionalFormatting>
  <conditionalFormatting sqref="B13:I13 B15:I15 B17:I17 B19:I19 B21:I21 B23:I23 B25:I25 B27:I27 B29:I29">
    <cfRule type="expression" dxfId="45" priority="2">
      <formula>COLUMN(B12)&gt;=2</formula>
    </cfRule>
  </conditionalFormatting>
  <conditionalFormatting sqref="B12:I31">
    <cfRule type="expression" dxfId="44" priority="1">
      <formula>COLUMN(B12)&gt;2</formula>
    </cfRule>
  </conditionalFormatting>
  <dataValidations xWindow="282" yWindow="780" count="13">
    <dataValidation allowBlank="1" showInputMessage="1" showErrorMessage="1" prompt="El calendario de junio resalta automáticamente las entradas de la lista de tareas para el mes. Las fuentes más oscuras indican tareas. Las fuentes más claras indican días que pertenecen al mes anterior o siguiente." sqref="B2" xr:uid="{00000000-0002-0000-0500-000000000000}"/>
    <dataValidation allowBlank="1" showInputMessage="1" showErrorMessage="1" prompt="El año se actualiza automáticamente. Para cambiar el año, actualice la celda B1 en la hoja de cálculo de Ene." sqref="B1" xr:uid="{00000000-0002-0000-05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500-000002000000}"/>
    <dataValidation allowBlank="1" showInputMessage="1" showErrorMessage="1" prompt="Las celdas C2 a I2 contienen días de la semana." sqref="C2" xr:uid="{00000000-0002-0000-0500-000003000000}"/>
    <dataValidation allowBlank="1" showInputMessage="1" showErrorMessage="1" prompt="Si esta celda no contiene el número 1, se trata de un día del mes anterior. Las celdas C3 a I8 contienen fechas para el mes actual." sqref="C3" xr:uid="{00000000-0002-0000-0500-000004000000}"/>
    <dataValidation allowBlank="1" showInputMessage="1" showErrorMessage="1" prompt="Si esta fila contiene un número menor que el número o la fila de números anterior, en ese caso, esta fila contiene fechas para el próximo mes del calendario." sqref="C8" xr:uid="{00000000-0002-0000-0500-000005000000}"/>
    <dataValidation allowBlank="1" showInputMessage="1" showErrorMessage="1" prompt="Escriba la hora en esta fila, de la columna B a la I." sqref="B12" xr:uid="{2066F227-99DF-4E3A-AF92-BDA883FBE1D2}"/>
    <dataValidation allowBlank="1" showInputMessage="1" showErrorMessage="1" prompt="Escriba la clase en esta fila, de la columna B a la I." sqref="B13" xr:uid="{744C4FD8-167C-499D-A3B0-2AB0925D2A95}"/>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5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5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500-00000A000000}"/>
    <dataValidation allowBlank="1" showInputMessage="1" showErrorMessage="1" prompt="Los días de la semana se encuentran en esta fila, del lunes al viernes." sqref="B11" xr:uid="{00000000-0002-0000-05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5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L31"/>
  <sheetViews>
    <sheetView showGridLines="0" zoomScale="70" zoomScaleNormal="70" zoomScalePageLayoutView="84" workbookViewId="0">
      <selection activeCell="C4" sqref="C4"/>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23</v>
      </c>
      <c r="C2" s="7" t="s">
        <v>29</v>
      </c>
      <c r="D2" s="7" t="s">
        <v>30</v>
      </c>
      <c r="E2" s="7" t="s">
        <v>31</v>
      </c>
      <c r="F2" s="7" t="s">
        <v>32</v>
      </c>
      <c r="G2" s="7" t="s">
        <v>33</v>
      </c>
      <c r="H2" s="7" t="s">
        <v>34</v>
      </c>
      <c r="I2" s="7" t="s">
        <v>35</v>
      </c>
      <c r="J2" s="10" t="s">
        <v>29</v>
      </c>
      <c r="K2" s="42"/>
      <c r="L2" s="49"/>
    </row>
    <row r="3" spans="1:12" ht="30" customHeight="1" x14ac:dyDescent="0.25">
      <c r="A3" s="13"/>
      <c r="C3" s="6">
        <f ca="1">IF(DAY(JulDom1)=1,JulDom1-6,JulDom1+1)</f>
        <v>43276</v>
      </c>
      <c r="D3" s="6">
        <f ca="1">IF(DAY(JulDom1)=1,JulDom1-5,JulDom1+2)</f>
        <v>43277</v>
      </c>
      <c r="E3" s="6">
        <f ca="1">IF(DAY(JulDom1)=1,JulDom1-4,JulDom1+3)</f>
        <v>43278</v>
      </c>
      <c r="F3" s="6">
        <f ca="1">IF(DAY(JulDom1)=1,JulDom1-3,JulDom1+4)</f>
        <v>43279</v>
      </c>
      <c r="G3" s="6">
        <f ca="1">IF(DAY(JulDom1)=1,JulDom1-2,JulDom1+5)</f>
        <v>43280</v>
      </c>
      <c r="H3" s="6">
        <f ca="1">IF(DAY(JulDom1)=1,JulDom1-1,JulDom1+6)</f>
        <v>43281</v>
      </c>
      <c r="I3" s="6">
        <f ca="1">IF(DAY(JulDom1)=1,JulDom1,JulDom1+7)</f>
        <v>43282</v>
      </c>
      <c r="J3" s="10"/>
      <c r="K3" s="36"/>
      <c r="L3" s="49"/>
    </row>
    <row r="4" spans="1:12" ht="30" customHeight="1" x14ac:dyDescent="0.25">
      <c r="A4" s="13"/>
      <c r="C4" s="6">
        <f ca="1">IF(DAY(JulDom1)=1,JulDom1+1,JulDom1+8)</f>
        <v>43283</v>
      </c>
      <c r="D4" s="6">
        <f ca="1">IF(DAY(JulDom1)=1,JulDom1+2,JulDom1+9)</f>
        <v>43284</v>
      </c>
      <c r="E4" s="6">
        <f ca="1">IF(DAY(JulDom1)=1,JulDom1+3,JulDom1+10)</f>
        <v>43285</v>
      </c>
      <c r="F4" s="6">
        <f ca="1">IF(DAY(JulDom1)=1,JulDom1+4,JulDom1+11)</f>
        <v>43286</v>
      </c>
      <c r="G4" s="6">
        <f ca="1">IF(DAY(JulDom1)=1,JulDom1+5,JulDom1+12)</f>
        <v>43287</v>
      </c>
      <c r="H4" s="6">
        <f ca="1">IF(DAY(JulDom1)=1,JulDom1+6,JulDom1+13)</f>
        <v>43288</v>
      </c>
      <c r="I4" s="6">
        <f ca="1">IF(DAY(JulDom1)=1,JulDom1+7,JulDom1+14)</f>
        <v>43289</v>
      </c>
      <c r="J4" s="10"/>
      <c r="K4" s="36"/>
      <c r="L4" s="49"/>
    </row>
    <row r="5" spans="1:12" ht="30" customHeight="1" x14ac:dyDescent="0.25">
      <c r="A5" s="13"/>
      <c r="C5" s="6">
        <f ca="1">IF(DAY(JulDom1)=1,JulDom1+8,JulDom1+15)</f>
        <v>43290</v>
      </c>
      <c r="D5" s="6">
        <f ca="1">IF(DAY(JulDom1)=1,JulDom1+9,JulDom1+16)</f>
        <v>43291</v>
      </c>
      <c r="E5" s="6">
        <f ca="1">IF(DAY(JulDom1)=1,JulDom1+10,JulDom1+17)</f>
        <v>43292</v>
      </c>
      <c r="F5" s="6">
        <f ca="1">IF(DAY(JulDom1)=1,JulDom1+11,JulDom1+18)</f>
        <v>43293</v>
      </c>
      <c r="G5" s="6">
        <f ca="1">IF(DAY(JulDom1)=1,JulDom1+12,JulDom1+19)</f>
        <v>43294</v>
      </c>
      <c r="H5" s="6">
        <f ca="1">IF(DAY(JulDom1)=1,JulDom1+13,JulDom1+20)</f>
        <v>43295</v>
      </c>
      <c r="I5" s="6">
        <f ca="1">IF(DAY(JulDom1)=1,JulDom1+14,JulDom1+21)</f>
        <v>43296</v>
      </c>
      <c r="J5" s="10"/>
      <c r="K5" s="36"/>
      <c r="L5" s="49"/>
    </row>
    <row r="6" spans="1:12" ht="30" customHeight="1" x14ac:dyDescent="0.25">
      <c r="A6" s="13"/>
      <c r="C6" s="6">
        <f ca="1">IF(DAY(JulDom1)=1,JulDom1+15,JulDom1+22)</f>
        <v>43297</v>
      </c>
      <c r="D6" s="6">
        <f ca="1">IF(DAY(JulDom1)=1,JulDom1+16,JulDom1+23)</f>
        <v>43298</v>
      </c>
      <c r="E6" s="6">
        <f ca="1">IF(DAY(JulDom1)=1,JulDom1+17,JulDom1+24)</f>
        <v>43299</v>
      </c>
      <c r="F6" s="6">
        <f ca="1">IF(DAY(JulDom1)=1,JulDom1+18,JulDom1+25)</f>
        <v>43300</v>
      </c>
      <c r="G6" s="6">
        <f ca="1">IF(DAY(JulDom1)=1,JulDom1+19,JulDom1+26)</f>
        <v>43301</v>
      </c>
      <c r="H6" s="6">
        <f ca="1">IF(DAY(JulDom1)=1,JulDom1+20,JulDom1+27)</f>
        <v>43302</v>
      </c>
      <c r="I6" s="6">
        <f ca="1">IF(DAY(JulDom1)=1,JulDom1+21,JulDom1+28)</f>
        <v>43303</v>
      </c>
      <c r="J6" s="10"/>
      <c r="K6" s="36"/>
      <c r="L6" s="49"/>
    </row>
    <row r="7" spans="1:12" ht="30" customHeight="1" x14ac:dyDescent="0.25">
      <c r="A7" s="13"/>
      <c r="C7" s="6">
        <f ca="1">IF(DAY(JulDom1)=1,JulDom1+22,JulDom1+29)</f>
        <v>43304</v>
      </c>
      <c r="D7" s="6">
        <f ca="1">IF(DAY(JulDom1)=1,JulDom1+23,JulDom1+30)</f>
        <v>43305</v>
      </c>
      <c r="E7" s="6">
        <f ca="1">IF(DAY(JulDom1)=1,JulDom1+24,JulDom1+31)</f>
        <v>43306</v>
      </c>
      <c r="F7" s="6">
        <f ca="1">IF(DAY(JulDom1)=1,JulDom1+25,JulDom1+32)</f>
        <v>43307</v>
      </c>
      <c r="G7" s="6">
        <f ca="1">IF(DAY(JulDom1)=1,JulDom1+26,JulDom1+33)</f>
        <v>43308</v>
      </c>
      <c r="H7" s="6">
        <f ca="1">IF(DAY(JulDom1)=1,JulDom1+27,JulDom1+34)</f>
        <v>43309</v>
      </c>
      <c r="I7" s="6">
        <f ca="1">IF(DAY(JulDom1)=1,JulDom1+28,JulDom1+35)</f>
        <v>43310</v>
      </c>
      <c r="J7" s="20"/>
      <c r="K7" s="35"/>
      <c r="L7" s="18"/>
    </row>
    <row r="8" spans="1:12" ht="30" customHeight="1" x14ac:dyDescent="0.25">
      <c r="A8" s="13"/>
      <c r="B8" s="18"/>
      <c r="C8" s="6">
        <f ca="1">IF(DAY(JulDom1)=1,JulDom1+29,JulDom1+36)</f>
        <v>43311</v>
      </c>
      <c r="D8" s="6">
        <f ca="1">IF(DAY(JulDom1)=1,JulDom1+30,JulDom1+37)</f>
        <v>43312</v>
      </c>
      <c r="E8" s="6">
        <f ca="1">IF(DAY(JulDom1)=1,JulDom1+31,JulDom1+38)</f>
        <v>43313</v>
      </c>
      <c r="F8" s="6">
        <f ca="1">IF(DAY(JulDom1)=1,JulDom1+32,JulDom1+39)</f>
        <v>43314</v>
      </c>
      <c r="G8" s="6">
        <f ca="1">IF(DAY(JulDom1)=1,JulDom1+33,JulDom1+40)</f>
        <v>43315</v>
      </c>
      <c r="H8" s="6">
        <f ca="1">IF(DAY(JulDom1)=1,JulDom1+34,JulDom1+41)</f>
        <v>43316</v>
      </c>
      <c r="I8" s="6">
        <f ca="1">IF(DAY(JulDom1)=1,JulDom1+35,JulDom1+42)</f>
        <v>43317</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5" t="s">
        <v>30</v>
      </c>
      <c r="D11" s="66"/>
      <c r="E11" s="65" t="s">
        <v>31</v>
      </c>
      <c r="F11" s="66"/>
      <c r="G11" s="65" t="s">
        <v>32</v>
      </c>
      <c r="H11" s="66"/>
      <c r="I11" s="3" t="s">
        <v>33</v>
      </c>
      <c r="J11" s="10"/>
      <c r="K11" s="36"/>
      <c r="L11" s="49"/>
    </row>
    <row r="12" spans="1:12" ht="30" customHeight="1" x14ac:dyDescent="0.25">
      <c r="A12" s="26" t="s">
        <v>1</v>
      </c>
      <c r="B12" s="56"/>
      <c r="C12" s="72"/>
      <c r="D12" s="72"/>
      <c r="E12" s="72"/>
      <c r="F12" s="72"/>
      <c r="G12" s="72"/>
      <c r="H12" s="72"/>
      <c r="I12" s="22"/>
      <c r="J12" s="10"/>
      <c r="K12" s="36"/>
      <c r="L12" s="49"/>
    </row>
    <row r="13" spans="1:12" ht="30" customHeight="1" x14ac:dyDescent="0.25">
      <c r="A13" s="26" t="s">
        <v>2</v>
      </c>
      <c r="B13" s="27"/>
      <c r="C13" s="67"/>
      <c r="D13" s="67"/>
      <c r="E13" s="67"/>
      <c r="F13" s="67"/>
      <c r="G13" s="67"/>
      <c r="H13" s="67"/>
      <c r="I13" s="54"/>
      <c r="J13" s="20"/>
      <c r="K13" s="35"/>
      <c r="L13" s="18"/>
    </row>
    <row r="14" spans="1:12" ht="30" customHeight="1" x14ac:dyDescent="0.25">
      <c r="A14" s="26" t="s">
        <v>1</v>
      </c>
      <c r="B14" s="56"/>
      <c r="C14" s="72"/>
      <c r="D14" s="72"/>
      <c r="E14" s="72"/>
      <c r="F14" s="72"/>
      <c r="G14" s="72"/>
      <c r="H14" s="72"/>
      <c r="I14" s="22">
        <v>0.76041666666666663</v>
      </c>
      <c r="J14" s="10" t="s">
        <v>31</v>
      </c>
      <c r="K14" s="37"/>
      <c r="L14" s="49"/>
    </row>
    <row r="15" spans="1:12" ht="30" customHeight="1" x14ac:dyDescent="0.25">
      <c r="A15" s="26" t="s">
        <v>2</v>
      </c>
      <c r="B15" s="27"/>
      <c r="C15" s="67"/>
      <c r="D15" s="67"/>
      <c r="E15" s="67"/>
      <c r="F15" s="67"/>
      <c r="G15" s="67"/>
      <c r="H15" s="67"/>
      <c r="I15" s="27" t="s">
        <v>38</v>
      </c>
      <c r="J15" s="10"/>
      <c r="K15" s="36"/>
      <c r="L15" s="49"/>
    </row>
    <row r="16" spans="1:12" ht="30" customHeight="1" x14ac:dyDescent="0.25">
      <c r="A16" s="26" t="s">
        <v>1</v>
      </c>
      <c r="B16" s="56"/>
      <c r="C16" s="72"/>
      <c r="D16" s="72"/>
      <c r="E16" s="72"/>
      <c r="F16" s="72"/>
      <c r="G16" s="72"/>
      <c r="H16" s="72"/>
      <c r="I16" s="24">
        <v>0.82291666666666663</v>
      </c>
      <c r="J16" s="10"/>
      <c r="K16" s="36"/>
      <c r="L16" s="49"/>
    </row>
    <row r="17" spans="1:12" ht="30" customHeight="1" x14ac:dyDescent="0.25">
      <c r="A17" s="26" t="s">
        <v>2</v>
      </c>
      <c r="B17" s="27"/>
      <c r="C17" s="67"/>
      <c r="D17" s="67"/>
      <c r="E17" s="67"/>
      <c r="F17" s="67"/>
      <c r="G17" s="67"/>
      <c r="H17" s="67"/>
      <c r="I17" s="27" t="s">
        <v>41</v>
      </c>
      <c r="J17" s="10"/>
      <c r="K17" s="36"/>
      <c r="L17" s="49"/>
    </row>
    <row r="18" spans="1:12" ht="30" customHeight="1" x14ac:dyDescent="0.25">
      <c r="A18" s="26" t="s">
        <v>1</v>
      </c>
      <c r="B18" s="56"/>
      <c r="C18" s="72">
        <v>0.82986111111111116</v>
      </c>
      <c r="D18" s="72"/>
      <c r="E18" s="72"/>
      <c r="F18" s="72"/>
      <c r="G18" s="72"/>
      <c r="H18" s="72"/>
      <c r="I18" s="22"/>
      <c r="J18" s="10"/>
      <c r="K18" s="36"/>
      <c r="L18" s="49"/>
    </row>
    <row r="19" spans="1:12" ht="30" customHeight="1" x14ac:dyDescent="0.25">
      <c r="A19" s="26" t="s">
        <v>2</v>
      </c>
      <c r="B19" s="27"/>
      <c r="C19" s="76" t="s">
        <v>42</v>
      </c>
      <c r="D19" s="67"/>
      <c r="E19" s="67"/>
      <c r="F19" s="67"/>
      <c r="G19" s="67"/>
      <c r="H19" s="67"/>
      <c r="I19" s="47"/>
      <c r="J19" s="20"/>
      <c r="K19" s="35"/>
      <c r="L19" s="50"/>
    </row>
    <row r="20" spans="1:12" ht="30" customHeight="1" x14ac:dyDescent="0.25">
      <c r="A20" s="26" t="s">
        <v>1</v>
      </c>
      <c r="B20" s="56"/>
      <c r="C20" s="72">
        <v>0.875</v>
      </c>
      <c r="D20" s="72"/>
      <c r="E20" s="72"/>
      <c r="F20" s="72"/>
      <c r="G20" s="72"/>
      <c r="H20" s="72"/>
      <c r="I20" s="22"/>
      <c r="J20" s="10" t="s">
        <v>32</v>
      </c>
      <c r="K20" s="37"/>
      <c r="L20" s="49"/>
    </row>
    <row r="21" spans="1:12" ht="30" customHeight="1" x14ac:dyDescent="0.25">
      <c r="A21" s="26" t="s">
        <v>2</v>
      </c>
      <c r="B21" s="27"/>
      <c r="C21" s="76" t="s">
        <v>41</v>
      </c>
      <c r="D21" s="67"/>
      <c r="E21" s="67"/>
      <c r="F21" s="67"/>
      <c r="G21" s="67"/>
      <c r="H21" s="67"/>
      <c r="I21" s="54"/>
      <c r="J21" s="10"/>
      <c r="K21" s="36"/>
      <c r="L21" s="49"/>
    </row>
    <row r="22" spans="1:12" ht="30" customHeight="1" x14ac:dyDescent="0.25">
      <c r="A22" s="26" t="s">
        <v>1</v>
      </c>
      <c r="B22" s="56"/>
      <c r="C22" s="72" t="s">
        <v>43</v>
      </c>
      <c r="D22" s="72"/>
      <c r="E22" s="72"/>
      <c r="F22" s="72"/>
      <c r="G22" s="72"/>
      <c r="H22" s="72"/>
      <c r="I22" s="22"/>
      <c r="J22" s="10"/>
      <c r="K22" s="36"/>
      <c r="L22" s="49"/>
    </row>
    <row r="23" spans="1:12" ht="30" customHeight="1" x14ac:dyDescent="0.25">
      <c r="A23" s="26" t="s">
        <v>2</v>
      </c>
      <c r="B23" s="27"/>
      <c r="C23" s="75">
        <v>0.96180555555555547</v>
      </c>
      <c r="D23" s="67"/>
      <c r="E23" s="67"/>
      <c r="F23" s="67"/>
      <c r="G23" s="67"/>
      <c r="H23" s="67"/>
      <c r="I23" s="54"/>
      <c r="J23" s="10"/>
      <c r="K23" s="36"/>
      <c r="L23" s="49"/>
    </row>
    <row r="24" spans="1:12" ht="30" customHeight="1" x14ac:dyDescent="0.25">
      <c r="A24" s="26" t="s">
        <v>1</v>
      </c>
      <c r="B24" s="56"/>
      <c r="C24" s="72"/>
      <c r="D24" s="72"/>
      <c r="E24" s="72"/>
      <c r="F24" s="72"/>
      <c r="G24" s="72"/>
      <c r="H24" s="72"/>
      <c r="I24" s="22"/>
      <c r="J24" s="10"/>
      <c r="K24" s="36"/>
      <c r="L24" s="49"/>
    </row>
    <row r="25" spans="1:12" ht="30" customHeight="1" x14ac:dyDescent="0.25">
      <c r="A25" s="26" t="s">
        <v>2</v>
      </c>
      <c r="B25" s="27"/>
      <c r="C25" s="67"/>
      <c r="D25" s="67"/>
      <c r="E25" s="67"/>
      <c r="F25" s="67"/>
      <c r="G25" s="67"/>
      <c r="H25" s="67"/>
      <c r="I25" s="54"/>
      <c r="J25" s="20"/>
      <c r="K25" s="35"/>
      <c r="L25" s="50"/>
    </row>
    <row r="26" spans="1:12" ht="30" customHeight="1" x14ac:dyDescent="0.25">
      <c r="A26" s="26" t="s">
        <v>1</v>
      </c>
      <c r="B26" s="56"/>
      <c r="C26" s="72"/>
      <c r="D26" s="72"/>
      <c r="E26" s="72"/>
      <c r="F26" s="72"/>
      <c r="G26" s="72"/>
      <c r="H26" s="72"/>
      <c r="I26" s="22"/>
      <c r="J26" s="10" t="s">
        <v>33</v>
      </c>
      <c r="K26" s="37"/>
      <c r="L26" s="49"/>
    </row>
    <row r="27" spans="1:12" ht="30" customHeight="1" x14ac:dyDescent="0.25">
      <c r="A27" s="26" t="s">
        <v>2</v>
      </c>
      <c r="B27" s="27"/>
      <c r="C27" s="67"/>
      <c r="D27" s="67"/>
      <c r="E27" s="67"/>
      <c r="F27" s="67"/>
      <c r="G27" s="67"/>
      <c r="H27" s="67"/>
      <c r="I27" s="54"/>
      <c r="J27" s="10"/>
      <c r="K27" s="36"/>
      <c r="L27" s="49"/>
    </row>
    <row r="28" spans="1:12" ht="30" customHeight="1" x14ac:dyDescent="0.25">
      <c r="A28" s="26" t="s">
        <v>1</v>
      </c>
      <c r="B28" s="56"/>
      <c r="C28" s="72"/>
      <c r="D28" s="72"/>
      <c r="E28" s="72"/>
      <c r="F28" s="72"/>
      <c r="G28" s="72"/>
      <c r="H28" s="72"/>
      <c r="I28" s="22"/>
      <c r="J28" s="10"/>
      <c r="K28" s="36"/>
      <c r="L28" s="49"/>
    </row>
    <row r="29" spans="1:12" ht="30" customHeight="1" x14ac:dyDescent="0.25">
      <c r="A29" s="26" t="s">
        <v>2</v>
      </c>
      <c r="B29" s="27"/>
      <c r="C29" s="67"/>
      <c r="D29" s="67"/>
      <c r="E29" s="67"/>
      <c r="F29" s="67"/>
      <c r="G29" s="67"/>
      <c r="H29" s="67"/>
      <c r="I29" s="54"/>
      <c r="J29" s="10"/>
      <c r="K29" s="36"/>
      <c r="L29" s="49"/>
    </row>
    <row r="30" spans="1:12" ht="30" customHeight="1" x14ac:dyDescent="0.25">
      <c r="A30" s="26" t="s">
        <v>1</v>
      </c>
      <c r="B30" s="56"/>
      <c r="C30" s="72"/>
      <c r="D30" s="72"/>
      <c r="E30" s="72"/>
      <c r="F30" s="72"/>
      <c r="G30" s="72"/>
      <c r="H30" s="72"/>
      <c r="I30" s="22"/>
      <c r="J30" s="10"/>
      <c r="K30" s="36"/>
      <c r="L30" s="49"/>
    </row>
    <row r="31" spans="1:12" ht="30" customHeight="1" x14ac:dyDescent="0.25">
      <c r="A31" s="26" t="s">
        <v>2</v>
      </c>
      <c r="B31" s="28"/>
      <c r="C31" s="69"/>
      <c r="D31" s="69"/>
      <c r="E31" s="69"/>
      <c r="F31" s="69"/>
      <c r="G31" s="69"/>
      <c r="H31" s="69"/>
      <c r="I31" s="55"/>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43" priority="10" stopIfTrue="1">
      <formula>DAY(C3)&gt;8</formula>
    </cfRule>
  </conditionalFormatting>
  <conditionalFormatting sqref="C7:I8">
    <cfRule type="expression" dxfId="42" priority="9" stopIfTrue="1">
      <formula>AND(DAY(C7)&gt;=1,DAY(C7)&lt;=15)</formula>
    </cfRule>
  </conditionalFormatting>
  <conditionalFormatting sqref="C3:I8">
    <cfRule type="expression" dxfId="41" priority="11">
      <formula>VLOOKUP(DAY(C3),AssignmentDays,1,FALSE)=DAY(C3)</formula>
    </cfRule>
  </conditionalFormatting>
  <conditionalFormatting sqref="B13:I13 B15:I15 B17:I17 B19:I19 B21:I21 B23:I23 B25:I25 B27:I27 B29:I29 B31:I31">
    <cfRule type="expression" dxfId="40" priority="4">
      <formula>B13&lt;&gt;""</formula>
    </cfRule>
  </conditionalFormatting>
  <conditionalFormatting sqref="B12:I12 B14:I14 B16:I16 B18:I18 B20:I20 B22:I22 B24:I24 B26:I26 B28:I28 B30:I30">
    <cfRule type="expression" dxfId="39" priority="3">
      <formula>B12&lt;&gt;""</formula>
    </cfRule>
  </conditionalFormatting>
  <conditionalFormatting sqref="B13:I13 B15:I15 B17:I17 B19:I19 B21:I21 B23:I23 B25:I25 B27:I27 B29:I29">
    <cfRule type="expression" dxfId="38" priority="2">
      <formula>COLUMN(B12)&gt;=2</formula>
    </cfRule>
  </conditionalFormatting>
  <conditionalFormatting sqref="B12:I31">
    <cfRule type="expression" dxfId="37" priority="1">
      <formula>COLUMN(B12)&gt;2</formula>
    </cfRule>
  </conditionalFormatting>
  <dataValidations xWindow="239" yWindow="583" count="13">
    <dataValidation allowBlank="1" showInputMessage="1" showErrorMessage="1" prompt="Escriba la clase en esta fila, de la columna B a la I." sqref="B13" xr:uid="{BCA52F48-AEEE-4F98-8EFE-CE6081745160}"/>
    <dataValidation allowBlank="1" showInputMessage="1" showErrorMessage="1" prompt="Escriba la hora en esta fila, de la columna B a la I." sqref="B12" xr:uid="{957B2734-8A3A-40D2-B13F-5C57BCE35071}"/>
    <dataValidation allowBlank="1" showInputMessage="1" showErrorMessage="1" prompt="Si esta fila contiene un número menor que el número o la fila de números anterior, en ese caso, esta fila contiene fechas para el próximo mes del calendario." sqref="C8" xr:uid="{00000000-0002-0000-0600-000002000000}"/>
    <dataValidation allowBlank="1" showInputMessage="1" showErrorMessage="1" prompt="Si esta celda no contiene el número 1, se trata de un día del mes anterior. Las celdas C3 a I8 contienen fechas para el mes actual." sqref="C3" xr:uid="{00000000-0002-0000-0600-000003000000}"/>
    <dataValidation allowBlank="1" showInputMessage="1" showErrorMessage="1" prompt="Las celdas C2 a I2 contienen días de la semana." sqref="C2" xr:uid="{00000000-0002-0000-06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600-000005000000}"/>
    <dataValidation allowBlank="1" showInputMessage="1" showErrorMessage="1" prompt="El año se actualiza automáticamente. Para cambiar el año, actualice la celda B1 en la hoja de cálculo de Ene." sqref="B1" xr:uid="{00000000-0002-0000-0600-000006000000}"/>
    <dataValidation allowBlank="1" showInputMessage="1" showErrorMessage="1" prompt="El calendario de julio resalta automáticamente las entradas de la lista de tareas para el mes. Las fuentes más oscuras indican tareas. Las fuentes más claras indican días que pertenecen al mes anterior o siguiente." sqref="B2" xr:uid="{00000000-0002-0000-06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600-000008000000}"/>
    <dataValidation allowBlank="1" showInputMessage="1" showErrorMessage="1" prompt="Escriba en esta columna los detalles de la tarea correspondientes al día de la semana de la columna J y al día de la columna K del mes del calendario de la izquierda." sqref="L1" xr:uid="{80F84132-B427-440E-A757-BBFD88C8245A}"/>
    <dataValidation allowBlank="1" showInputMessage="1" showErrorMessage="1" prompt="Escriba en esta columna el día de la tarea del mes que corresponda al día de la semana de la columna J. Esta fecha resaltará la tarea en el calendario de la izquierda." sqref="K1" xr:uid="{00000000-0002-0000-0600-00000A000000}"/>
    <dataValidation allowBlank="1" showInputMessage="1" showErrorMessage="1" prompt="Los días de la semana se encuentran en esta fila, del lunes al viernes." sqref="B11" xr:uid="{00000000-0002-0000-06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6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24</v>
      </c>
      <c r="C2" s="7" t="s">
        <v>29</v>
      </c>
      <c r="D2" s="7" t="s">
        <v>30</v>
      </c>
      <c r="E2" s="7" t="s">
        <v>31</v>
      </c>
      <c r="F2" s="7" t="s">
        <v>32</v>
      </c>
      <c r="G2" s="7" t="s">
        <v>33</v>
      </c>
      <c r="H2" s="7" t="s">
        <v>34</v>
      </c>
      <c r="I2" s="7" t="s">
        <v>35</v>
      </c>
      <c r="J2" s="10" t="s">
        <v>29</v>
      </c>
      <c r="K2" s="42"/>
      <c r="L2" s="49"/>
    </row>
    <row r="3" spans="1:12" ht="30" customHeight="1" x14ac:dyDescent="0.25">
      <c r="A3" s="13"/>
      <c r="C3" s="6">
        <f ca="1">IF(DAY(AgoDom1)=1,AgoDom1-6,AgoDom1+1)</f>
        <v>43311</v>
      </c>
      <c r="D3" s="6">
        <f ca="1">IF(DAY(AgoDom1)=1,AgoDom1-5,AgoDom1+2)</f>
        <v>43312</v>
      </c>
      <c r="E3" s="6">
        <f ca="1">IF(DAY(AgoDom1)=1,AgoDom1-4,AgoDom1+3)</f>
        <v>43313</v>
      </c>
      <c r="F3" s="6">
        <f ca="1">IF(DAY(AgoDom1)=1,AgoDom1-3,AgoDom1+4)</f>
        <v>43314</v>
      </c>
      <c r="G3" s="6">
        <f ca="1">IF(DAY(AgoDom1)=1,AgoDom1-2,AgoDom1+5)</f>
        <v>43315</v>
      </c>
      <c r="H3" s="6">
        <f ca="1">IF(DAY(AgoDom1)=1,AgoDom1-1,AgoDom1+6)</f>
        <v>43316</v>
      </c>
      <c r="I3" s="6">
        <f ca="1">IF(DAY(AgoDom1)=1,AgoDom1,AgoDom1+7)</f>
        <v>43317</v>
      </c>
      <c r="J3" s="10"/>
      <c r="K3" s="36"/>
      <c r="L3" s="49"/>
    </row>
    <row r="4" spans="1:12" ht="30" customHeight="1" x14ac:dyDescent="0.25">
      <c r="A4" s="13"/>
      <c r="C4" s="6">
        <f ca="1">IF(DAY(AgoDom1)=1,AgoDom1+1,AgoDom1+8)</f>
        <v>43318</v>
      </c>
      <c r="D4" s="6">
        <f ca="1">IF(DAY(AgoDom1)=1,AgoDom1+2,AgoDom1+9)</f>
        <v>43319</v>
      </c>
      <c r="E4" s="6">
        <f ca="1">IF(DAY(AgoDom1)=1,AgoDom1+3,AgoDom1+10)</f>
        <v>43320</v>
      </c>
      <c r="F4" s="6">
        <f ca="1">IF(DAY(AgoDom1)=1,AgoDom1+4,AgoDom1+11)</f>
        <v>43321</v>
      </c>
      <c r="G4" s="6">
        <f ca="1">IF(DAY(AgoDom1)=1,AgoDom1+5,AgoDom1+12)</f>
        <v>43322</v>
      </c>
      <c r="H4" s="6">
        <f ca="1">IF(DAY(AgoDom1)=1,AgoDom1+6,AgoDom1+13)</f>
        <v>43323</v>
      </c>
      <c r="I4" s="6">
        <f ca="1">IF(DAY(AgoDom1)=1,AgoDom1+7,AgoDom1+14)</f>
        <v>43324</v>
      </c>
      <c r="J4" s="10"/>
      <c r="K4" s="36"/>
      <c r="L4" s="49"/>
    </row>
    <row r="5" spans="1:12" ht="30" customHeight="1" x14ac:dyDescent="0.25">
      <c r="A5" s="13"/>
      <c r="C5" s="6">
        <f ca="1">IF(DAY(AgoDom1)=1,AgoDom1+8,AgoDom1+15)</f>
        <v>43325</v>
      </c>
      <c r="D5" s="6">
        <f ca="1">IF(DAY(AgoDom1)=1,AgoDom1+9,AgoDom1+16)</f>
        <v>43326</v>
      </c>
      <c r="E5" s="6">
        <f ca="1">IF(DAY(AgoDom1)=1,AgoDom1+10,AgoDom1+17)</f>
        <v>43327</v>
      </c>
      <c r="F5" s="6">
        <f ca="1">IF(DAY(AgoDom1)=1,AgoDom1+11,AgoDom1+18)</f>
        <v>43328</v>
      </c>
      <c r="G5" s="6">
        <f ca="1">IF(DAY(AgoDom1)=1,AgoDom1+12,AgoDom1+19)</f>
        <v>43329</v>
      </c>
      <c r="H5" s="6">
        <f ca="1">IF(DAY(AgoDom1)=1,AgoDom1+13,AgoDom1+20)</f>
        <v>43330</v>
      </c>
      <c r="I5" s="6">
        <f ca="1">IF(DAY(AgoDom1)=1,AgoDom1+14,AgoDom1+21)</f>
        <v>43331</v>
      </c>
      <c r="J5" s="10"/>
      <c r="K5" s="36"/>
      <c r="L5" s="49"/>
    </row>
    <row r="6" spans="1:12" ht="30" customHeight="1" x14ac:dyDescent="0.25">
      <c r="A6" s="13"/>
      <c r="C6" s="6">
        <f ca="1">IF(DAY(AgoDom1)=1,AgoDom1+15,AgoDom1+22)</f>
        <v>43332</v>
      </c>
      <c r="D6" s="6">
        <f ca="1">IF(DAY(AgoDom1)=1,AgoDom1+16,AgoDom1+23)</f>
        <v>43333</v>
      </c>
      <c r="E6" s="6">
        <f ca="1">IF(DAY(AgoDom1)=1,AgoDom1+17,AgoDom1+24)</f>
        <v>43334</v>
      </c>
      <c r="F6" s="6">
        <f ca="1">IF(DAY(AgoDom1)=1,AgoDom1+18,AgoDom1+25)</f>
        <v>43335</v>
      </c>
      <c r="G6" s="6">
        <f ca="1">IF(DAY(AgoDom1)=1,AgoDom1+19,AgoDom1+26)</f>
        <v>43336</v>
      </c>
      <c r="H6" s="6">
        <f ca="1">IF(DAY(AgoDom1)=1,AgoDom1+20,AgoDom1+27)</f>
        <v>43337</v>
      </c>
      <c r="I6" s="6">
        <f ca="1">IF(DAY(AgoDom1)=1,AgoDom1+21,AgoDom1+28)</f>
        <v>43338</v>
      </c>
      <c r="J6" s="10"/>
      <c r="K6" s="36"/>
      <c r="L6" s="49"/>
    </row>
    <row r="7" spans="1:12" ht="30" customHeight="1" x14ac:dyDescent="0.25">
      <c r="A7" s="13"/>
      <c r="C7" s="6">
        <f ca="1">IF(DAY(AgoDom1)=1,AgoDom1+22,AgoDom1+29)</f>
        <v>43339</v>
      </c>
      <c r="D7" s="6">
        <f ca="1">IF(DAY(AgoDom1)=1,AgoDom1+23,AgoDom1+30)</f>
        <v>43340</v>
      </c>
      <c r="E7" s="6">
        <f ca="1">IF(DAY(AgoDom1)=1,AgoDom1+24,AgoDom1+31)</f>
        <v>43341</v>
      </c>
      <c r="F7" s="6">
        <f ca="1">IF(DAY(AgoDom1)=1,AgoDom1+25,AgoDom1+32)</f>
        <v>43342</v>
      </c>
      <c r="G7" s="6">
        <f ca="1">IF(DAY(AgoDom1)=1,AgoDom1+26,AgoDom1+33)</f>
        <v>43343</v>
      </c>
      <c r="H7" s="6">
        <f ca="1">IF(DAY(AgoDom1)=1,AgoDom1+27,AgoDom1+34)</f>
        <v>43344</v>
      </c>
      <c r="I7" s="6">
        <f ca="1">IF(DAY(AgoDom1)=1,AgoDom1+28,AgoDom1+35)</f>
        <v>43345</v>
      </c>
      <c r="J7" s="20"/>
      <c r="K7" s="35"/>
      <c r="L7" s="18"/>
    </row>
    <row r="8" spans="1:12" ht="30" customHeight="1" x14ac:dyDescent="0.25">
      <c r="A8" s="13"/>
      <c r="B8" s="18"/>
      <c r="C8" s="6">
        <f ca="1">IF(DAY(AgoDom1)=1,AgoDom1+29,AgoDom1+36)</f>
        <v>43346</v>
      </c>
      <c r="D8" s="6">
        <f ca="1">IF(DAY(AgoDom1)=1,AgoDom1+30,AgoDom1+37)</f>
        <v>43347</v>
      </c>
      <c r="E8" s="6">
        <f ca="1">IF(DAY(AgoDom1)=1,AgoDom1+31,AgoDom1+38)</f>
        <v>43348</v>
      </c>
      <c r="F8" s="6">
        <f ca="1">IF(DAY(AgoDom1)=1,AgoDom1+32,AgoDom1+39)</f>
        <v>43349</v>
      </c>
      <c r="G8" s="6">
        <f ca="1">IF(DAY(AgoDom1)=1,AgoDom1+33,AgoDom1+40)</f>
        <v>43350</v>
      </c>
      <c r="H8" s="6">
        <f ca="1">IF(DAY(AgoDom1)=1,AgoDom1+34,AgoDom1+41)</f>
        <v>43351</v>
      </c>
      <c r="I8" s="6">
        <f ca="1">IF(DAY(AgoDom1)=1,AgoDom1+35,AgoDom1+42)</f>
        <v>43352</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5" t="s">
        <v>30</v>
      </c>
      <c r="D11" s="66"/>
      <c r="E11" s="65" t="s">
        <v>31</v>
      </c>
      <c r="F11" s="66"/>
      <c r="G11" s="65" t="s">
        <v>32</v>
      </c>
      <c r="H11" s="66"/>
      <c r="I11" s="3" t="s">
        <v>33</v>
      </c>
      <c r="J11" s="10"/>
      <c r="K11" s="36"/>
      <c r="L11" s="49"/>
    </row>
    <row r="12" spans="1:12" ht="30" customHeight="1" x14ac:dyDescent="0.25">
      <c r="A12" s="26" t="s">
        <v>1</v>
      </c>
      <c r="B12" s="21">
        <v>0.33333333333333331</v>
      </c>
      <c r="C12" s="72"/>
      <c r="D12" s="72"/>
      <c r="E12" s="72">
        <v>0.33333333333333331</v>
      </c>
      <c r="F12" s="72"/>
      <c r="G12" s="72"/>
      <c r="H12" s="72"/>
      <c r="I12" s="22">
        <v>0.33333333333333331</v>
      </c>
      <c r="J12" s="10"/>
      <c r="K12" s="36"/>
      <c r="L12" s="49"/>
    </row>
    <row r="13" spans="1:12" ht="30" customHeight="1" x14ac:dyDescent="0.25">
      <c r="A13" s="26" t="s">
        <v>2</v>
      </c>
      <c r="B13" s="27" t="s">
        <v>5</v>
      </c>
      <c r="C13" s="67"/>
      <c r="D13" s="67"/>
      <c r="E13" s="67" t="s">
        <v>5</v>
      </c>
      <c r="F13" s="67"/>
      <c r="G13" s="67"/>
      <c r="H13" s="67"/>
      <c r="I13" s="30" t="s">
        <v>5</v>
      </c>
      <c r="J13" s="20"/>
      <c r="K13" s="35"/>
      <c r="L13" s="18"/>
    </row>
    <row r="14" spans="1:12" ht="30" customHeight="1" x14ac:dyDescent="0.25">
      <c r="A14" s="26" t="s">
        <v>1</v>
      </c>
      <c r="B14" s="21"/>
      <c r="C14" s="72">
        <v>0.375</v>
      </c>
      <c r="D14" s="72"/>
      <c r="E14" s="72"/>
      <c r="F14" s="72"/>
      <c r="G14" s="72">
        <v>0.375</v>
      </c>
      <c r="H14" s="72"/>
      <c r="I14" s="22"/>
      <c r="J14" s="10" t="s">
        <v>31</v>
      </c>
      <c r="K14" s="37"/>
      <c r="L14" s="49"/>
    </row>
    <row r="15" spans="1:12" ht="30" customHeight="1" x14ac:dyDescent="0.25">
      <c r="A15" s="26" t="s">
        <v>2</v>
      </c>
      <c r="B15" s="27"/>
      <c r="C15" s="67" t="s">
        <v>11</v>
      </c>
      <c r="D15" s="67"/>
      <c r="E15" s="67"/>
      <c r="F15" s="67"/>
      <c r="G15" s="67" t="s">
        <v>11</v>
      </c>
      <c r="H15" s="67"/>
      <c r="I15" s="30"/>
      <c r="J15" s="10"/>
      <c r="K15" s="36"/>
      <c r="L15" s="49"/>
    </row>
    <row r="16" spans="1:12" ht="30" customHeight="1" x14ac:dyDescent="0.25">
      <c r="A16" s="26" t="s">
        <v>1</v>
      </c>
      <c r="B16" s="21" t="s">
        <v>6</v>
      </c>
      <c r="C16" s="72"/>
      <c r="D16" s="72"/>
      <c r="E16" s="72" t="s">
        <v>6</v>
      </c>
      <c r="F16" s="72"/>
      <c r="G16" s="72"/>
      <c r="H16" s="72"/>
      <c r="I16" s="24" t="s">
        <v>6</v>
      </c>
      <c r="J16" s="10"/>
      <c r="K16" s="36"/>
      <c r="L16" s="49"/>
    </row>
    <row r="17" spans="1:12" ht="30" customHeight="1" x14ac:dyDescent="0.25">
      <c r="A17" s="26" t="s">
        <v>2</v>
      </c>
      <c r="B17" s="27" t="s">
        <v>7</v>
      </c>
      <c r="C17" s="67"/>
      <c r="D17" s="67"/>
      <c r="E17" s="67" t="s">
        <v>7</v>
      </c>
      <c r="F17" s="67"/>
      <c r="G17" s="67"/>
      <c r="H17" s="67"/>
      <c r="I17" s="30" t="s">
        <v>7</v>
      </c>
      <c r="J17" s="10"/>
      <c r="K17" s="36"/>
      <c r="L17" s="49"/>
    </row>
    <row r="18" spans="1:12" ht="30" customHeight="1" x14ac:dyDescent="0.25">
      <c r="A18" s="26" t="s">
        <v>1</v>
      </c>
      <c r="B18" s="21"/>
      <c r="C18" s="72"/>
      <c r="D18" s="72"/>
      <c r="E18" s="72"/>
      <c r="F18" s="72"/>
      <c r="G18" s="72"/>
      <c r="H18" s="72"/>
      <c r="I18" s="22"/>
      <c r="J18" s="10"/>
      <c r="K18" s="36"/>
      <c r="L18" s="49"/>
    </row>
    <row r="19" spans="1:12" ht="30" customHeight="1" x14ac:dyDescent="0.25">
      <c r="A19" s="26" t="s">
        <v>2</v>
      </c>
      <c r="B19" s="27"/>
      <c r="C19" s="67"/>
      <c r="D19" s="67"/>
      <c r="E19" s="67"/>
      <c r="F19" s="67"/>
      <c r="G19" s="67"/>
      <c r="H19" s="67"/>
      <c r="I19" s="47"/>
      <c r="J19" s="20"/>
      <c r="K19" s="35"/>
      <c r="L19" s="50"/>
    </row>
    <row r="20" spans="1:12" ht="30" customHeight="1" x14ac:dyDescent="0.25">
      <c r="A20" s="26" t="s">
        <v>1</v>
      </c>
      <c r="B20" s="21"/>
      <c r="C20" s="72"/>
      <c r="D20" s="72"/>
      <c r="E20" s="72"/>
      <c r="F20" s="72"/>
      <c r="G20" s="72"/>
      <c r="H20" s="72"/>
      <c r="I20" s="22"/>
      <c r="J20" s="10" t="s">
        <v>32</v>
      </c>
      <c r="K20" s="37"/>
      <c r="L20" s="49"/>
    </row>
    <row r="21" spans="1:12" ht="30" customHeight="1" x14ac:dyDescent="0.25">
      <c r="A21" s="26" t="s">
        <v>2</v>
      </c>
      <c r="B21" s="27"/>
      <c r="C21" s="67"/>
      <c r="D21" s="67"/>
      <c r="E21" s="67"/>
      <c r="F21" s="67"/>
      <c r="G21" s="67"/>
      <c r="H21" s="67"/>
      <c r="I21" s="30"/>
      <c r="J21" s="10"/>
      <c r="K21" s="36"/>
      <c r="L21" s="49"/>
    </row>
    <row r="22" spans="1:12" ht="30" customHeight="1" x14ac:dyDescent="0.25">
      <c r="A22" s="26" t="s">
        <v>1</v>
      </c>
      <c r="B22" s="21"/>
      <c r="C22" s="72"/>
      <c r="D22" s="72"/>
      <c r="E22" s="72"/>
      <c r="F22" s="72"/>
      <c r="G22" s="72"/>
      <c r="H22" s="72"/>
      <c r="I22" s="22"/>
      <c r="J22" s="10"/>
      <c r="K22" s="36"/>
      <c r="L22" s="49"/>
    </row>
    <row r="23" spans="1:12" ht="30" customHeight="1" x14ac:dyDescent="0.25">
      <c r="A23" s="26" t="s">
        <v>2</v>
      </c>
      <c r="B23" s="27"/>
      <c r="C23" s="67"/>
      <c r="D23" s="67"/>
      <c r="E23" s="67"/>
      <c r="F23" s="67"/>
      <c r="G23" s="67"/>
      <c r="H23" s="67"/>
      <c r="I23" s="30"/>
      <c r="J23" s="10"/>
      <c r="K23" s="36"/>
      <c r="L23" s="49"/>
    </row>
    <row r="24" spans="1:12" ht="30" customHeight="1" x14ac:dyDescent="0.25">
      <c r="A24" s="26" t="s">
        <v>1</v>
      </c>
      <c r="B24" s="21" t="s">
        <v>8</v>
      </c>
      <c r="C24" s="72"/>
      <c r="D24" s="72"/>
      <c r="E24" s="72" t="s">
        <v>8</v>
      </c>
      <c r="F24" s="72"/>
      <c r="G24" s="72"/>
      <c r="H24" s="72"/>
      <c r="I24" s="22" t="s">
        <v>8</v>
      </c>
      <c r="J24" s="10"/>
      <c r="K24" s="36"/>
      <c r="L24" s="49"/>
    </row>
    <row r="25" spans="1:12" ht="30" customHeight="1" x14ac:dyDescent="0.25">
      <c r="A25" s="26" t="s">
        <v>2</v>
      </c>
      <c r="B25" s="27" t="s">
        <v>9</v>
      </c>
      <c r="C25" s="67"/>
      <c r="D25" s="67"/>
      <c r="E25" s="67" t="s">
        <v>9</v>
      </c>
      <c r="F25" s="67"/>
      <c r="G25" s="67"/>
      <c r="H25" s="67"/>
      <c r="I25" s="30" t="s">
        <v>9</v>
      </c>
      <c r="J25" s="20"/>
      <c r="K25" s="35"/>
      <c r="L25" s="50"/>
    </row>
    <row r="26" spans="1:12" ht="30" customHeight="1" x14ac:dyDescent="0.25">
      <c r="A26" s="26" t="s">
        <v>1</v>
      </c>
      <c r="B26" s="21"/>
      <c r="C26" s="72"/>
      <c r="D26" s="72"/>
      <c r="E26" s="72"/>
      <c r="F26" s="72"/>
      <c r="G26" s="72"/>
      <c r="H26" s="72"/>
      <c r="I26" s="22"/>
      <c r="J26" s="10" t="s">
        <v>33</v>
      </c>
      <c r="K26" s="37"/>
      <c r="L26" s="49"/>
    </row>
    <row r="27" spans="1:12" ht="30" customHeight="1" x14ac:dyDescent="0.25">
      <c r="A27" s="26" t="s">
        <v>2</v>
      </c>
      <c r="B27" s="27"/>
      <c r="C27" s="67"/>
      <c r="D27" s="67"/>
      <c r="E27" s="67"/>
      <c r="F27" s="67"/>
      <c r="G27" s="67"/>
      <c r="H27" s="67"/>
      <c r="I27" s="30"/>
      <c r="J27" s="10"/>
      <c r="K27" s="36"/>
      <c r="L27" s="49"/>
    </row>
    <row r="28" spans="1:12" ht="30" customHeight="1" x14ac:dyDescent="0.25">
      <c r="A28" s="26" t="s">
        <v>1</v>
      </c>
      <c r="B28" s="21"/>
      <c r="C28" s="72" t="s">
        <v>12</v>
      </c>
      <c r="D28" s="72"/>
      <c r="E28" s="72"/>
      <c r="F28" s="72"/>
      <c r="G28" s="72" t="s">
        <v>12</v>
      </c>
      <c r="H28" s="72"/>
      <c r="I28" s="22"/>
      <c r="J28" s="10"/>
      <c r="K28" s="36"/>
      <c r="L28" s="49"/>
    </row>
    <row r="29" spans="1:12" ht="30" customHeight="1" x14ac:dyDescent="0.25">
      <c r="A29" s="26" t="s">
        <v>2</v>
      </c>
      <c r="B29" s="27"/>
      <c r="C29" s="67" t="s">
        <v>13</v>
      </c>
      <c r="D29" s="67"/>
      <c r="E29" s="67"/>
      <c r="F29" s="67"/>
      <c r="G29" s="67" t="s">
        <v>13</v>
      </c>
      <c r="H29" s="67"/>
      <c r="I29" s="30"/>
      <c r="J29" s="10"/>
      <c r="K29" s="36"/>
      <c r="L29" s="49"/>
    </row>
    <row r="30" spans="1:12" ht="30" customHeight="1" x14ac:dyDescent="0.25">
      <c r="A30" s="26" t="s">
        <v>1</v>
      </c>
      <c r="B30" s="21"/>
      <c r="C30" s="72"/>
      <c r="D30" s="72"/>
      <c r="E30" s="72"/>
      <c r="F30" s="72"/>
      <c r="G30" s="72"/>
      <c r="H30" s="72"/>
      <c r="I30" s="22"/>
      <c r="J30" s="10"/>
      <c r="K30" s="36"/>
      <c r="L30" s="49"/>
    </row>
    <row r="31" spans="1:12" ht="30" customHeight="1" x14ac:dyDescent="0.25">
      <c r="A31" s="26" t="s">
        <v>2</v>
      </c>
      <c r="B31" s="28"/>
      <c r="C31" s="69"/>
      <c r="D31" s="69"/>
      <c r="E31" s="69"/>
      <c r="F31" s="69"/>
      <c r="G31" s="69"/>
      <c r="H31" s="69"/>
      <c r="I31" s="40"/>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36" priority="6" stopIfTrue="1">
      <formula>DAY(C3)&gt;8</formula>
    </cfRule>
  </conditionalFormatting>
  <conditionalFormatting sqref="C7:I8">
    <cfRule type="expression" dxfId="35" priority="5" stopIfTrue="1">
      <formula>AND(DAY(C7)&gt;=1,DAY(C7)&lt;=15)</formula>
    </cfRule>
  </conditionalFormatting>
  <conditionalFormatting sqref="C3:I8">
    <cfRule type="expression" dxfId="34" priority="7">
      <formula>VLOOKUP(DAY(C3),AssignmentDays,1,FALSE)=DAY(C3)</formula>
    </cfRule>
  </conditionalFormatting>
  <conditionalFormatting sqref="B12:I12 B14:I14 B16:I16 B18:I18 B20:I20 B22:I22 B24:I24 B26:I26 B28:I28 B30:I30">
    <cfRule type="expression" dxfId="33" priority="4">
      <formula>B12&lt;&gt;""</formula>
    </cfRule>
  </conditionalFormatting>
  <conditionalFormatting sqref="B13:I13 B15:I15 B17:I17 B19:I19 B21:I21 B23:I23 B25:I25 B27:I27 B29:I29 B31:I31">
    <cfRule type="expression" dxfId="32" priority="3">
      <formula>B12&lt;&gt;""</formula>
    </cfRule>
  </conditionalFormatting>
  <conditionalFormatting sqref="B13:I13 B15:I15 B17:I17 B19:I19 B21:I21 B23:I23 B25:I25 B27:I27 B29:I29">
    <cfRule type="expression" dxfId="31" priority="2">
      <formula>COLUMN(B13)&gt;=2</formula>
    </cfRule>
  </conditionalFormatting>
  <conditionalFormatting sqref="B12:I31">
    <cfRule type="expression" dxfId="30" priority="1">
      <formula>COLUMN(B12)&gt;2</formula>
    </cfRule>
  </conditionalFormatting>
  <dataValidations xWindow="132" yWindow="585" count="13">
    <dataValidation allowBlank="1" showInputMessage="1" showErrorMessage="1" prompt="El calendario de agosto resalta automáticamente las entradas de la lista de tareas para el mes. Las fuentes más oscuras indican tareas. Las fuentes más claras indican días que pertenecen al mes anterior o siguiente." sqref="B2" xr:uid="{00000000-0002-0000-0700-000000000000}"/>
    <dataValidation allowBlank="1" showInputMessage="1" showErrorMessage="1" prompt="El año se actualiza automáticamente. Para cambiar el año, actualice la celda B1 en la hoja de cálculo de Ene." sqref="B1" xr:uid="{00000000-0002-0000-07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700-000002000000}"/>
    <dataValidation allowBlank="1" showInputMessage="1" showErrorMessage="1" prompt="Las celdas C2 a I2 contienen días de la semana." sqref="C2" xr:uid="{00000000-0002-0000-0700-000003000000}"/>
    <dataValidation allowBlank="1" showInputMessage="1" showErrorMessage="1" prompt="Si esta celda no contiene el número 1, se trata de un día del mes anterior. Las celdas C3 a I8 contienen fechas para el mes actual." sqref="C3" xr:uid="{00000000-0002-0000-0700-000004000000}"/>
    <dataValidation allowBlank="1" showInputMessage="1" showErrorMessage="1" prompt="Si esta fila contiene un número menor que el número o la fila de números anterior, en ese caso, esta fila contiene fechas para el próximo mes del calendario." sqref="C8" xr:uid="{00000000-0002-0000-0700-000005000000}"/>
    <dataValidation allowBlank="1" showInputMessage="1" showErrorMessage="1" prompt="Escriba la hora en esta fila, de la columna B a la I." sqref="B12" xr:uid="{00000000-0002-0000-0700-000006000000}"/>
    <dataValidation allowBlank="1" showInputMessage="1" showErrorMessage="1" prompt="Escriba la clase en esta fila, de la columna B a la I." sqref="B13" xr:uid="{00000000-0002-0000-07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7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7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700-00000A000000}"/>
    <dataValidation allowBlank="1" showInputMessage="1" showErrorMessage="1" prompt="Los días de la semana se encuentran en esta fila, del lunes al viernes." sqref="B11" xr:uid="{00000000-0002-0000-07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7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25</v>
      </c>
      <c r="C2" s="7" t="s">
        <v>29</v>
      </c>
      <c r="D2" s="7" t="s">
        <v>30</v>
      </c>
      <c r="E2" s="7" t="s">
        <v>31</v>
      </c>
      <c r="F2" s="7" t="s">
        <v>32</v>
      </c>
      <c r="G2" s="7" t="s">
        <v>33</v>
      </c>
      <c r="H2" s="7" t="s">
        <v>34</v>
      </c>
      <c r="I2" s="7" t="s">
        <v>35</v>
      </c>
      <c r="J2" s="10" t="s">
        <v>29</v>
      </c>
      <c r="K2" s="42"/>
      <c r="L2" s="49"/>
    </row>
    <row r="3" spans="1:12" ht="30" customHeight="1" x14ac:dyDescent="0.25">
      <c r="A3" s="13"/>
      <c r="C3" s="6">
        <f ca="1">IF(DAY(SepDom1)=1,SepDom1-6,SepDom1+1)</f>
        <v>43339</v>
      </c>
      <c r="D3" s="6">
        <f ca="1">IF(DAY(SepDom1)=1,SepDom1-5,SepDom1+2)</f>
        <v>43340</v>
      </c>
      <c r="E3" s="6">
        <f ca="1">IF(DAY(SepDom1)=1,SepDom1-4,SepDom1+3)</f>
        <v>43341</v>
      </c>
      <c r="F3" s="6">
        <f ca="1">IF(DAY(SepDom1)=1,SepDom1-3,SepDom1+4)</f>
        <v>43342</v>
      </c>
      <c r="G3" s="6">
        <f ca="1">IF(DAY(SepDom1)=1,SepDom1-2,SepDom1+5)</f>
        <v>43343</v>
      </c>
      <c r="H3" s="6">
        <f ca="1">IF(DAY(SepDom1)=1,SepDom1-1,SepDom1+6)</f>
        <v>43344</v>
      </c>
      <c r="I3" s="6">
        <f ca="1">IF(DAY(SepDom1)=1,SepDom1,SepDom1+7)</f>
        <v>43345</v>
      </c>
      <c r="J3" s="10"/>
      <c r="K3" s="36"/>
      <c r="L3" s="49"/>
    </row>
    <row r="4" spans="1:12" ht="30" customHeight="1" x14ac:dyDescent="0.25">
      <c r="A4" s="13"/>
      <c r="C4" s="6">
        <f ca="1">IF(DAY(SepDom1)=1,SepDom1+1,SepDom1+8)</f>
        <v>43346</v>
      </c>
      <c r="D4" s="6">
        <f ca="1">IF(DAY(SepDom1)=1,SepDom1+2,SepDom1+9)</f>
        <v>43347</v>
      </c>
      <c r="E4" s="6">
        <f ca="1">IF(DAY(SepDom1)=1,SepDom1+3,SepDom1+10)</f>
        <v>43348</v>
      </c>
      <c r="F4" s="6">
        <f ca="1">IF(DAY(SepDom1)=1,SepDom1+4,SepDom1+11)</f>
        <v>43349</v>
      </c>
      <c r="G4" s="6">
        <f ca="1">IF(DAY(SepDom1)=1,SepDom1+5,SepDom1+12)</f>
        <v>43350</v>
      </c>
      <c r="H4" s="6">
        <f ca="1">IF(DAY(SepDom1)=1,SepDom1+6,SepDom1+13)</f>
        <v>43351</v>
      </c>
      <c r="I4" s="6">
        <f ca="1">IF(DAY(SepDom1)=1,SepDom1+7,SepDom1+14)</f>
        <v>43352</v>
      </c>
      <c r="J4" s="10"/>
      <c r="K4" s="36"/>
      <c r="L4" s="49"/>
    </row>
    <row r="5" spans="1:12" ht="30" customHeight="1" x14ac:dyDescent="0.25">
      <c r="A5" s="13"/>
      <c r="C5" s="6">
        <f ca="1">IF(DAY(SepDom1)=1,SepDom1+8,SepDom1+15)</f>
        <v>43353</v>
      </c>
      <c r="D5" s="6">
        <f ca="1">IF(DAY(SepDom1)=1,SepDom1+9,SepDom1+16)</f>
        <v>43354</v>
      </c>
      <c r="E5" s="6">
        <f ca="1">IF(DAY(SepDom1)=1,SepDom1+10,SepDom1+17)</f>
        <v>43355</v>
      </c>
      <c r="F5" s="6">
        <f ca="1">IF(DAY(SepDom1)=1,SepDom1+11,SepDom1+18)</f>
        <v>43356</v>
      </c>
      <c r="G5" s="6">
        <f ca="1">IF(DAY(SepDom1)=1,SepDom1+12,SepDom1+19)</f>
        <v>43357</v>
      </c>
      <c r="H5" s="6">
        <f ca="1">IF(DAY(SepDom1)=1,SepDom1+13,SepDom1+20)</f>
        <v>43358</v>
      </c>
      <c r="I5" s="6">
        <f ca="1">IF(DAY(SepDom1)=1,SepDom1+14,SepDom1+21)</f>
        <v>43359</v>
      </c>
      <c r="J5" s="10"/>
      <c r="K5" s="36"/>
      <c r="L5" s="49"/>
    </row>
    <row r="6" spans="1:12" ht="30" customHeight="1" x14ac:dyDescent="0.25">
      <c r="A6" s="13"/>
      <c r="C6" s="6">
        <f ca="1">IF(DAY(SepDom1)=1,SepDom1+15,SepDom1+22)</f>
        <v>43360</v>
      </c>
      <c r="D6" s="6">
        <f ca="1">IF(DAY(SepDom1)=1,SepDom1+16,SepDom1+23)</f>
        <v>43361</v>
      </c>
      <c r="E6" s="6">
        <f ca="1">IF(DAY(SepDom1)=1,SepDom1+17,SepDom1+24)</f>
        <v>43362</v>
      </c>
      <c r="F6" s="6">
        <f ca="1">IF(DAY(SepDom1)=1,SepDom1+18,SepDom1+25)</f>
        <v>43363</v>
      </c>
      <c r="G6" s="6">
        <f ca="1">IF(DAY(SepDom1)=1,SepDom1+19,SepDom1+26)</f>
        <v>43364</v>
      </c>
      <c r="H6" s="6">
        <f ca="1">IF(DAY(SepDom1)=1,SepDom1+20,SepDom1+27)</f>
        <v>43365</v>
      </c>
      <c r="I6" s="6">
        <f ca="1">IF(DAY(SepDom1)=1,SepDom1+21,SepDom1+28)</f>
        <v>43366</v>
      </c>
      <c r="J6" s="10"/>
      <c r="K6" s="36"/>
      <c r="L6" s="49"/>
    </row>
    <row r="7" spans="1:12" ht="30" customHeight="1" x14ac:dyDescent="0.25">
      <c r="A7" s="13"/>
      <c r="C7" s="6">
        <f ca="1">IF(DAY(SepDom1)=1,SepDom1+22,SepDom1+29)</f>
        <v>43367</v>
      </c>
      <c r="D7" s="6">
        <f ca="1">IF(DAY(SepDom1)=1,SepDom1+23,SepDom1+30)</f>
        <v>43368</v>
      </c>
      <c r="E7" s="6">
        <f ca="1">IF(DAY(SepDom1)=1,SepDom1+24,SepDom1+31)</f>
        <v>43369</v>
      </c>
      <c r="F7" s="6">
        <f ca="1">IF(DAY(SepDom1)=1,SepDom1+25,SepDom1+32)</f>
        <v>43370</v>
      </c>
      <c r="G7" s="6">
        <f ca="1">IF(DAY(SepDom1)=1,SepDom1+26,SepDom1+33)</f>
        <v>43371</v>
      </c>
      <c r="H7" s="6">
        <f ca="1">IF(DAY(SepDom1)=1,SepDom1+27,SepDom1+34)</f>
        <v>43372</v>
      </c>
      <c r="I7" s="6">
        <f ca="1">IF(DAY(SepDom1)=1,SepDom1+28,SepDom1+35)</f>
        <v>43373</v>
      </c>
      <c r="J7" s="20"/>
      <c r="K7" s="35"/>
      <c r="L7" s="18"/>
    </row>
    <row r="8" spans="1:12" ht="30" customHeight="1" x14ac:dyDescent="0.25">
      <c r="A8" s="13"/>
      <c r="B8" s="18"/>
      <c r="C8" s="6">
        <f ca="1">IF(DAY(SepDom1)=1,SepDom1+29,SepDom1+36)</f>
        <v>43374</v>
      </c>
      <c r="D8" s="6">
        <f ca="1">IF(DAY(SepDom1)=1,SepDom1+30,SepDom1+37)</f>
        <v>43375</v>
      </c>
      <c r="E8" s="6">
        <f ca="1">IF(DAY(SepDom1)=1,SepDom1+31,SepDom1+38)</f>
        <v>43376</v>
      </c>
      <c r="F8" s="6">
        <f ca="1">IF(DAY(SepDom1)=1,SepDom1+32,SepDom1+39)</f>
        <v>43377</v>
      </c>
      <c r="G8" s="6">
        <f ca="1">IF(DAY(SepDom1)=1,SepDom1+33,SepDom1+40)</f>
        <v>43378</v>
      </c>
      <c r="H8" s="6">
        <f ca="1">IF(DAY(SepDom1)=1,SepDom1+34,SepDom1+41)</f>
        <v>43379</v>
      </c>
      <c r="I8" s="6">
        <f ca="1">IF(DAY(SepDom1)=1,SepDom1+35,SepDom1+42)</f>
        <v>43380</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5" t="s">
        <v>30</v>
      </c>
      <c r="D11" s="66"/>
      <c r="E11" s="65" t="s">
        <v>31</v>
      </c>
      <c r="F11" s="66"/>
      <c r="G11" s="65" t="s">
        <v>32</v>
      </c>
      <c r="H11" s="66"/>
      <c r="I11" s="3" t="s">
        <v>33</v>
      </c>
      <c r="J11" s="10"/>
      <c r="K11" s="36"/>
      <c r="L11" s="49"/>
    </row>
    <row r="12" spans="1:12" ht="30" customHeight="1" x14ac:dyDescent="0.25">
      <c r="A12" s="26" t="s">
        <v>1</v>
      </c>
      <c r="B12" s="21">
        <v>0.33333333333333331</v>
      </c>
      <c r="C12" s="72"/>
      <c r="D12" s="72"/>
      <c r="E12" s="72">
        <v>0.33333333333333331</v>
      </c>
      <c r="F12" s="72"/>
      <c r="G12" s="72"/>
      <c r="H12" s="72"/>
      <c r="I12" s="22">
        <v>0.33333333333333331</v>
      </c>
      <c r="J12" s="10"/>
      <c r="K12" s="36"/>
      <c r="L12" s="49"/>
    </row>
    <row r="13" spans="1:12" ht="30" customHeight="1" x14ac:dyDescent="0.25">
      <c r="A13" s="26" t="s">
        <v>2</v>
      </c>
      <c r="B13" s="27" t="s">
        <v>5</v>
      </c>
      <c r="C13" s="67"/>
      <c r="D13" s="67"/>
      <c r="E13" s="67" t="s">
        <v>5</v>
      </c>
      <c r="F13" s="67"/>
      <c r="G13" s="67"/>
      <c r="H13" s="67"/>
      <c r="I13" s="30" t="s">
        <v>5</v>
      </c>
      <c r="J13" s="20"/>
      <c r="K13" s="35"/>
      <c r="L13" s="18"/>
    </row>
    <row r="14" spans="1:12" ht="30" customHeight="1" x14ac:dyDescent="0.25">
      <c r="A14" s="26" t="s">
        <v>1</v>
      </c>
      <c r="B14" s="21"/>
      <c r="C14" s="72">
        <v>0.375</v>
      </c>
      <c r="D14" s="72"/>
      <c r="E14" s="72"/>
      <c r="F14" s="72"/>
      <c r="G14" s="72">
        <v>0.375</v>
      </c>
      <c r="H14" s="72"/>
      <c r="I14" s="22"/>
      <c r="J14" s="10" t="s">
        <v>31</v>
      </c>
      <c r="K14" s="37"/>
      <c r="L14" s="49"/>
    </row>
    <row r="15" spans="1:12" ht="30" customHeight="1" x14ac:dyDescent="0.25">
      <c r="A15" s="26" t="s">
        <v>2</v>
      </c>
      <c r="B15" s="27"/>
      <c r="C15" s="67" t="s">
        <v>11</v>
      </c>
      <c r="D15" s="67"/>
      <c r="E15" s="67"/>
      <c r="F15" s="67"/>
      <c r="G15" s="67" t="s">
        <v>11</v>
      </c>
      <c r="H15" s="67"/>
      <c r="I15" s="30"/>
      <c r="J15" s="10"/>
      <c r="K15" s="36"/>
      <c r="L15" s="49"/>
    </row>
    <row r="16" spans="1:12" ht="30" customHeight="1" x14ac:dyDescent="0.25">
      <c r="A16" s="26" t="s">
        <v>1</v>
      </c>
      <c r="B16" s="21" t="s">
        <v>6</v>
      </c>
      <c r="C16" s="72"/>
      <c r="D16" s="72"/>
      <c r="E16" s="72" t="s">
        <v>6</v>
      </c>
      <c r="F16" s="72"/>
      <c r="G16" s="72"/>
      <c r="H16" s="72"/>
      <c r="I16" s="24" t="s">
        <v>6</v>
      </c>
      <c r="J16" s="10"/>
      <c r="K16" s="36"/>
      <c r="L16" s="49"/>
    </row>
    <row r="17" spans="1:12" ht="30" customHeight="1" x14ac:dyDescent="0.25">
      <c r="A17" s="26" t="s">
        <v>2</v>
      </c>
      <c r="B17" s="27" t="s">
        <v>7</v>
      </c>
      <c r="C17" s="67"/>
      <c r="D17" s="67"/>
      <c r="E17" s="67" t="s">
        <v>7</v>
      </c>
      <c r="F17" s="67"/>
      <c r="G17" s="67"/>
      <c r="H17" s="67"/>
      <c r="I17" s="30" t="s">
        <v>7</v>
      </c>
      <c r="J17" s="10"/>
      <c r="K17" s="36"/>
      <c r="L17" s="49"/>
    </row>
    <row r="18" spans="1:12" ht="30" customHeight="1" x14ac:dyDescent="0.25">
      <c r="A18" s="26" t="s">
        <v>1</v>
      </c>
      <c r="B18" s="21"/>
      <c r="C18" s="72"/>
      <c r="D18" s="72"/>
      <c r="E18" s="72"/>
      <c r="F18" s="72"/>
      <c r="G18" s="72"/>
      <c r="H18" s="72"/>
      <c r="I18" s="22"/>
      <c r="J18" s="10"/>
      <c r="K18" s="36"/>
      <c r="L18" s="49"/>
    </row>
    <row r="19" spans="1:12" ht="30" customHeight="1" x14ac:dyDescent="0.25">
      <c r="A19" s="26" t="s">
        <v>2</v>
      </c>
      <c r="B19" s="27"/>
      <c r="C19" s="67"/>
      <c r="D19" s="67"/>
      <c r="E19" s="67"/>
      <c r="F19" s="67"/>
      <c r="G19" s="67"/>
      <c r="H19" s="67"/>
      <c r="I19" s="47"/>
      <c r="J19" s="20"/>
      <c r="K19" s="35"/>
      <c r="L19" s="50"/>
    </row>
    <row r="20" spans="1:12" ht="30" customHeight="1" x14ac:dyDescent="0.25">
      <c r="A20" s="26" t="s">
        <v>1</v>
      </c>
      <c r="B20" s="21"/>
      <c r="C20" s="72"/>
      <c r="D20" s="72"/>
      <c r="E20" s="72"/>
      <c r="F20" s="72"/>
      <c r="G20" s="72"/>
      <c r="H20" s="72"/>
      <c r="I20" s="22"/>
      <c r="J20" s="10" t="s">
        <v>32</v>
      </c>
      <c r="K20" s="37"/>
      <c r="L20" s="49"/>
    </row>
    <row r="21" spans="1:12" ht="30" customHeight="1" x14ac:dyDescent="0.25">
      <c r="A21" s="26" t="s">
        <v>2</v>
      </c>
      <c r="B21" s="27"/>
      <c r="C21" s="67"/>
      <c r="D21" s="67"/>
      <c r="E21" s="67"/>
      <c r="F21" s="67"/>
      <c r="G21" s="67"/>
      <c r="H21" s="67"/>
      <c r="I21" s="30"/>
      <c r="J21" s="10"/>
      <c r="K21" s="36"/>
      <c r="L21" s="49"/>
    </row>
    <row r="22" spans="1:12" ht="30" customHeight="1" x14ac:dyDescent="0.25">
      <c r="A22" s="26" t="s">
        <v>1</v>
      </c>
      <c r="B22" s="21"/>
      <c r="C22" s="72"/>
      <c r="D22" s="72"/>
      <c r="E22" s="72"/>
      <c r="F22" s="72"/>
      <c r="G22" s="72"/>
      <c r="H22" s="72"/>
      <c r="I22" s="22"/>
      <c r="J22" s="10"/>
      <c r="K22" s="36"/>
      <c r="L22" s="49"/>
    </row>
    <row r="23" spans="1:12" ht="30" customHeight="1" x14ac:dyDescent="0.25">
      <c r="A23" s="26" t="s">
        <v>2</v>
      </c>
      <c r="B23" s="27"/>
      <c r="C23" s="67"/>
      <c r="D23" s="67"/>
      <c r="E23" s="67"/>
      <c r="F23" s="67"/>
      <c r="G23" s="67"/>
      <c r="H23" s="67"/>
      <c r="I23" s="30"/>
      <c r="J23" s="10"/>
      <c r="K23" s="36"/>
      <c r="L23" s="49"/>
    </row>
    <row r="24" spans="1:12" ht="30" customHeight="1" x14ac:dyDescent="0.25">
      <c r="A24" s="26" t="s">
        <v>1</v>
      </c>
      <c r="B24" s="21" t="s">
        <v>8</v>
      </c>
      <c r="C24" s="72"/>
      <c r="D24" s="72"/>
      <c r="E24" s="72" t="s">
        <v>8</v>
      </c>
      <c r="F24" s="72"/>
      <c r="G24" s="72"/>
      <c r="H24" s="72"/>
      <c r="I24" s="22" t="s">
        <v>8</v>
      </c>
      <c r="J24" s="10"/>
      <c r="K24" s="36"/>
      <c r="L24" s="49"/>
    </row>
    <row r="25" spans="1:12" ht="30" customHeight="1" x14ac:dyDescent="0.25">
      <c r="A25" s="26" t="s">
        <v>2</v>
      </c>
      <c r="B25" s="27" t="s">
        <v>9</v>
      </c>
      <c r="C25" s="67"/>
      <c r="D25" s="67"/>
      <c r="E25" s="67" t="s">
        <v>9</v>
      </c>
      <c r="F25" s="67"/>
      <c r="G25" s="67"/>
      <c r="H25" s="67"/>
      <c r="I25" s="30" t="s">
        <v>9</v>
      </c>
      <c r="J25" s="20"/>
      <c r="K25" s="35"/>
      <c r="L25" s="50"/>
    </row>
    <row r="26" spans="1:12" ht="30" customHeight="1" x14ac:dyDescent="0.25">
      <c r="A26" s="26" t="s">
        <v>1</v>
      </c>
      <c r="B26" s="21"/>
      <c r="C26" s="72"/>
      <c r="D26" s="72"/>
      <c r="E26" s="72"/>
      <c r="F26" s="72"/>
      <c r="G26" s="72"/>
      <c r="H26" s="72"/>
      <c r="I26" s="22"/>
      <c r="J26" s="10" t="s">
        <v>33</v>
      </c>
      <c r="K26" s="37"/>
      <c r="L26" s="49"/>
    </row>
    <row r="27" spans="1:12" ht="30" customHeight="1" x14ac:dyDescent="0.25">
      <c r="A27" s="26" t="s">
        <v>2</v>
      </c>
      <c r="B27" s="27"/>
      <c r="C27" s="67"/>
      <c r="D27" s="67"/>
      <c r="E27" s="67"/>
      <c r="F27" s="67"/>
      <c r="G27" s="67"/>
      <c r="H27" s="67"/>
      <c r="I27" s="30"/>
      <c r="J27" s="10"/>
      <c r="K27" s="36"/>
      <c r="L27" s="49"/>
    </row>
    <row r="28" spans="1:12" ht="30" customHeight="1" x14ac:dyDescent="0.25">
      <c r="A28" s="26" t="s">
        <v>1</v>
      </c>
      <c r="B28" s="21"/>
      <c r="C28" s="72" t="s">
        <v>12</v>
      </c>
      <c r="D28" s="72"/>
      <c r="E28" s="72"/>
      <c r="F28" s="72"/>
      <c r="G28" s="72" t="s">
        <v>12</v>
      </c>
      <c r="H28" s="72"/>
      <c r="I28" s="22"/>
      <c r="J28" s="10"/>
      <c r="K28" s="36"/>
      <c r="L28" s="49"/>
    </row>
    <row r="29" spans="1:12" ht="30" customHeight="1" x14ac:dyDescent="0.25">
      <c r="A29" s="26" t="s">
        <v>2</v>
      </c>
      <c r="B29" s="27"/>
      <c r="C29" s="67" t="s">
        <v>13</v>
      </c>
      <c r="D29" s="67"/>
      <c r="E29" s="67"/>
      <c r="F29" s="67"/>
      <c r="G29" s="67" t="s">
        <v>13</v>
      </c>
      <c r="H29" s="67"/>
      <c r="I29" s="30"/>
      <c r="J29" s="10"/>
      <c r="K29" s="36"/>
      <c r="L29" s="49"/>
    </row>
    <row r="30" spans="1:12" ht="30" customHeight="1" x14ac:dyDescent="0.25">
      <c r="A30" s="26" t="s">
        <v>1</v>
      </c>
      <c r="B30" s="21"/>
      <c r="C30" s="72"/>
      <c r="D30" s="72"/>
      <c r="E30" s="72"/>
      <c r="F30" s="72"/>
      <c r="G30" s="72"/>
      <c r="H30" s="72"/>
      <c r="I30" s="22"/>
      <c r="J30" s="10"/>
      <c r="K30" s="36"/>
      <c r="L30" s="49"/>
    </row>
    <row r="31" spans="1:12" ht="30" customHeight="1" x14ac:dyDescent="0.25">
      <c r="A31" s="26" t="s">
        <v>2</v>
      </c>
      <c r="B31" s="28"/>
      <c r="C31" s="69"/>
      <c r="D31" s="69"/>
      <c r="E31" s="69"/>
      <c r="F31" s="69"/>
      <c r="G31" s="69"/>
      <c r="H31" s="69"/>
      <c r="I31" s="40"/>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29" priority="6" stopIfTrue="1">
      <formula>DAY(C3)&gt;8</formula>
    </cfRule>
  </conditionalFormatting>
  <conditionalFormatting sqref="C7:I8">
    <cfRule type="expression" dxfId="28" priority="5" stopIfTrue="1">
      <formula>AND(DAY(C7)&gt;=1,DAY(C7)&lt;=15)</formula>
    </cfRule>
  </conditionalFormatting>
  <conditionalFormatting sqref="C3:I8">
    <cfRule type="expression" dxfId="27" priority="7">
      <formula>VLOOKUP(DAY(C3),AssignmentDays,1,FALSE)=DAY(C3)</formula>
    </cfRule>
  </conditionalFormatting>
  <conditionalFormatting sqref="B13:I13 B15:I15 B17:I17 B19:I19 B21:I21 B23:I23 B25:I25 B27:I27 B29:I29 B31:I31">
    <cfRule type="expression" dxfId="26" priority="4">
      <formula>B13&lt;&gt;""</formula>
    </cfRule>
  </conditionalFormatting>
  <conditionalFormatting sqref="B12:I12 B14:I14 B16:I16 B18:I18 B20:I20 B22:I22 B24:I24 B26:I26 B28:I28 B30:I30">
    <cfRule type="expression" dxfId="25" priority="3">
      <formula>B12&lt;&gt;""</formula>
    </cfRule>
  </conditionalFormatting>
  <conditionalFormatting sqref="B13:I13 B15:I15 B17:I17 B19:I19 B21:I21 B23:I23 B25:I25 B27:I27 B29:I29">
    <cfRule type="expression" dxfId="24" priority="2">
      <formula>COLUMN(B13)&gt;=2</formula>
    </cfRule>
  </conditionalFormatting>
  <conditionalFormatting sqref="B12:I31">
    <cfRule type="expression" dxfId="23" priority="1">
      <formula>COLUMN(B12)&gt;2</formula>
    </cfRule>
  </conditionalFormatting>
  <dataValidations count="13">
    <dataValidation allowBlank="1" showInputMessage="1" showErrorMessage="1" prompt="Escriba la clase en esta fila, de la columna B a la I." sqref="B13" xr:uid="{00000000-0002-0000-0800-000000000000}"/>
    <dataValidation allowBlank="1" showInputMessage="1" showErrorMessage="1" prompt="Escriba la hora en esta fila, de la columna B a la I." sqref="B12" xr:uid="{00000000-0002-0000-0800-000001000000}"/>
    <dataValidation allowBlank="1" showInputMessage="1" showErrorMessage="1" prompt="Si esta fila contiene un número menor que el número o la fila de números anterior, en ese caso, esta fila contiene fechas para el próximo mes del calendario." sqref="C8" xr:uid="{00000000-0002-0000-0800-000002000000}"/>
    <dataValidation allowBlank="1" showInputMessage="1" showErrorMessage="1" prompt="Si esta celda no contiene el número 1, se trata de un día del mes anterior. Las celdas C3 a I8 contienen fechas para el mes actual." sqref="C3" xr:uid="{00000000-0002-0000-0800-000003000000}"/>
    <dataValidation allowBlank="1" showInputMessage="1" showErrorMessage="1" prompt="Las celdas C2 a I2 contienen días de la semana." sqref="C2" xr:uid="{00000000-0002-0000-08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800-000005000000}"/>
    <dataValidation allowBlank="1" showInputMessage="1" showErrorMessage="1" prompt="El año se actualiza automáticamente. Para cambiar el año, actualice la celda B1 en la hoja de cálculo de Ene." sqref="B1" xr:uid="{00000000-0002-0000-0800-000006000000}"/>
    <dataValidation allowBlank="1" showInputMessage="1" showErrorMessage="1" prompt="El calendario de septiembre resalta automáticamente las entradas de la lista de tareas para el mes. Las fuentes más oscuras indican tareas. Las fuentes más claras indican días que pertenecen al mes anterior o siguiente." sqref="B2" xr:uid="{00000000-0002-0000-08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8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8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800-00000A000000}"/>
    <dataValidation allowBlank="1" showInputMessage="1" showErrorMessage="1" prompt="Los días de la semana se encuentran en esta fila, del lunes al viernes." sqref="B11" xr:uid="{00000000-0002-0000-08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8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61</vt:i4>
      </vt:variant>
    </vt:vector>
  </HeadingPairs>
  <TitlesOfParts>
    <vt:vector size="73" baseType="lpstr">
      <vt:lpstr>Ene</vt:lpstr>
      <vt:lpstr>Feb</vt:lpstr>
      <vt:lpstr>Mar</vt:lpstr>
      <vt:lpstr>Abr</vt:lpstr>
      <vt:lpstr>May</vt:lpstr>
      <vt:lpstr>Jun</vt:lpstr>
      <vt:lpstr>Jul</vt:lpstr>
      <vt:lpstr>Ago</vt:lpstr>
      <vt:lpstr>Sep</vt:lpstr>
      <vt:lpstr>Oct</vt:lpstr>
      <vt:lpstr>Nov</vt:lpstr>
      <vt:lpstr>Dic</vt:lpstr>
      <vt:lpstr>AñoCalendario</vt:lpstr>
      <vt:lpstr>Abr!AssignmentDays</vt:lpstr>
      <vt:lpstr>Ago!AssignmentDays</vt:lpstr>
      <vt:lpstr>Dic!AssignmentDays</vt:lpstr>
      <vt:lpstr>Feb!AssignmentDays</vt:lpstr>
      <vt:lpstr>Jul!AssignmentDays</vt:lpstr>
      <vt:lpstr>Jun!AssignmentDays</vt:lpstr>
      <vt:lpstr>Mar!AssignmentDays</vt:lpstr>
      <vt:lpstr>May!AssignmentDays</vt:lpstr>
      <vt:lpstr>Nov!AssignmentDays</vt:lpstr>
      <vt:lpstr>Oct!AssignmentDays</vt:lpstr>
      <vt:lpstr>Sep!AssignmentDays</vt:lpstr>
      <vt:lpstr>AssignmentDays</vt:lpstr>
      <vt:lpstr>ColumnTitleRegion1..I8.1</vt:lpstr>
      <vt:lpstr>ColumnTitleRegion1..I8.10</vt:lpstr>
      <vt:lpstr>ColumnTitleRegion1..I8.11</vt:lpstr>
      <vt:lpstr>ColumnTitleRegion1..I8.12</vt:lpstr>
      <vt:lpstr>ColumnTitleRegion1..I8.2</vt:lpstr>
      <vt:lpstr>ColumnTitleRegion1..I8.3</vt:lpstr>
      <vt:lpstr>ColumnTitleRegion1..I8.4</vt:lpstr>
      <vt:lpstr>ColumnTitleRegion1..I8.5</vt:lpstr>
      <vt:lpstr>ColumnTitleRegion1..I8.6</vt:lpstr>
      <vt:lpstr>ColumnTitleRegion1..I8.7</vt:lpstr>
      <vt:lpstr>ColumnTitleRegion1..I8.8</vt:lpstr>
      <vt:lpstr>ColumnTitleRegion1..I8.9</vt:lpstr>
      <vt:lpstr>Abr!ImportantDatesTable</vt:lpstr>
      <vt:lpstr>Ago!ImportantDatesTable</vt:lpstr>
      <vt:lpstr>Dic!ImportantDatesTable</vt:lpstr>
      <vt:lpstr>Feb!ImportantDatesTable</vt:lpstr>
      <vt:lpstr>Jul!ImportantDatesTable</vt:lpstr>
      <vt:lpstr>Jun!ImportantDatesTable</vt:lpstr>
      <vt:lpstr>Mar!ImportantDatesTable</vt:lpstr>
      <vt:lpstr>May!ImportantDatesTable</vt:lpstr>
      <vt:lpstr>Nov!ImportantDatesTable</vt:lpstr>
      <vt:lpstr>Oct!ImportantDatesTable</vt:lpstr>
      <vt:lpstr>Sep!ImportantDatesTable</vt:lpstr>
      <vt:lpstr>ImportantDatesTable</vt:lpstr>
      <vt:lpstr>TitleRegion2..I31.1</vt:lpstr>
      <vt:lpstr>TitleRegion2..I31.10</vt:lpstr>
      <vt:lpstr>TitleRegion2..I31.11</vt:lpstr>
      <vt:lpstr>TitleRegion2..I31.12</vt:lpstr>
      <vt:lpstr>TitleRegion2..I31.2</vt:lpstr>
      <vt:lpstr>TitleRegion2..I31.3</vt:lpstr>
      <vt:lpstr>TitleRegion2..I31.4</vt:lpstr>
      <vt:lpstr>TitleRegion2..I31.5</vt:lpstr>
      <vt:lpstr>TitleRegion2..I31.6</vt:lpstr>
      <vt:lpstr>TitleRegion2..I31.7</vt:lpstr>
      <vt:lpstr>TitleRegion2..I31.8</vt:lpstr>
      <vt:lpstr>TitleRegion2..I31.9</vt:lpstr>
      <vt:lpstr>TítuloDeColumna1</vt:lpstr>
      <vt:lpstr>TítuloDeColumna10</vt:lpstr>
      <vt:lpstr>TítuloDeColumna11</vt:lpstr>
      <vt:lpstr>TítuloDeColumna12</vt:lpstr>
      <vt:lpstr>TítuloDeColumna2</vt:lpstr>
      <vt:lpstr>TítuloDeColumna3</vt:lpstr>
      <vt:lpstr>TítuloDeColumna4</vt:lpstr>
      <vt:lpstr>TítuloDeColumna5</vt:lpstr>
      <vt:lpstr>TítuloDeColumna6</vt:lpstr>
      <vt:lpstr>TítuloDeColumna7</vt:lpstr>
      <vt:lpstr>TítuloDeColumna8</vt:lpstr>
      <vt:lpstr>TítuloDeColumna9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gimena videla</dc:creator>
  <cp:lastModifiedBy>gimena videla</cp:lastModifiedBy>
  <dcterms:created xsi:type="dcterms:W3CDTF">2016-12-22T23:12:27Z</dcterms:created>
  <dcterms:modified xsi:type="dcterms:W3CDTF">2018-04-16T03:55:47Z</dcterms:modified>
</cp:coreProperties>
</file>