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226"/>
  <workbookPr codeName="ThisWorkbook" autoCompressPictures="0"/>
  <mc:AlternateContent xmlns:mc="http://schemas.openxmlformats.org/markup-compatibility/2006">
    <mc:Choice Requires="x15">
      <x15ac:absPath xmlns:x15ac="http://schemas.microsoft.com/office/spreadsheetml/2010/11/ac" url="G:\Facu\4º año\Ingenieria de Software (ISW)\"/>
    </mc:Choice>
  </mc:AlternateContent>
  <xr:revisionPtr revIDLastSave="0" documentId="13_ncr:1_{5D86F701-4508-4B4D-9948-ECDED0990415}" xr6:coauthVersionLast="32" xr6:coauthVersionMax="32" xr10:uidLastSave="{00000000-0000-0000-0000-000000000000}"/>
  <bookViews>
    <workbookView xWindow="0" yWindow="0" windowWidth="21600" windowHeight="9510" tabRatio="741" firstSheet="2" activeTab="5" xr2:uid="{00000000-000D-0000-FFFF-FFFF00000000}"/>
  </bookViews>
  <sheets>
    <sheet name="Ene" sheetId="1" state="hidden" r:id="rId1"/>
    <sheet name="Feb" sheetId="6" state="hidden" r:id="rId2"/>
    <sheet name="Mar" sheetId="17" r:id="rId3"/>
    <sheet name="Abr" sheetId="18" r:id="rId4"/>
    <sheet name="May" sheetId="19" r:id="rId5"/>
    <sheet name="Jun" sheetId="20" r:id="rId6"/>
    <sheet name="Jul" sheetId="21" r:id="rId7"/>
    <sheet name="Ago" sheetId="22" state="hidden" r:id="rId8"/>
    <sheet name="Sep" sheetId="23" state="hidden" r:id="rId9"/>
    <sheet name="Oct" sheetId="24" state="hidden" r:id="rId10"/>
    <sheet name="Nov" sheetId="25" state="hidden" r:id="rId11"/>
    <sheet name="Dic" sheetId="26" state="hidden" r:id="rId12"/>
  </sheets>
  <definedNames>
    <definedName name="AbrDom1">DATE(AñoCalendario,4,1)-WEEKDAY(DATE(AñoCalendario,4,1))+1</definedName>
    <definedName name="AgoDom1">DATE(AñoCalendario,8,1)-WEEKDAY(DATE(AñoCalendario,8,1))+1</definedName>
    <definedName name="AñoCalendario">Ene!$B$1</definedName>
    <definedName name="AssignmentDays" localSheetId="3">Abr!$K$2:$K$31</definedName>
    <definedName name="AssignmentDays" localSheetId="7">Ago!$K$2:$K$31</definedName>
    <definedName name="AssignmentDays" localSheetId="11">Dic!$K$2:$K$31</definedName>
    <definedName name="AssignmentDays" localSheetId="1">Feb!$K$2:$K$31</definedName>
    <definedName name="AssignmentDays" localSheetId="6">Jul!$K$2:$K$31</definedName>
    <definedName name="AssignmentDays" localSheetId="5">Jun!$K$2:$K$31</definedName>
    <definedName name="AssignmentDays" localSheetId="2">Mar!$K$2:$K$31</definedName>
    <definedName name="AssignmentDays" localSheetId="4">May!$K$2:$K$31</definedName>
    <definedName name="AssignmentDays" localSheetId="10">Nov!$K$2:$K$31</definedName>
    <definedName name="AssignmentDays" localSheetId="9">Oct!$K$2:$K$31</definedName>
    <definedName name="AssignmentDays" localSheetId="8">Sep!$K$2:$K$31</definedName>
    <definedName name="AssignmentDays">Ene!$K$2:$K$31</definedName>
    <definedName name="ColumnTitleRegion1..I8.1">Ene!$C$2</definedName>
    <definedName name="ColumnTitleRegion1..I8.10">Oct!$C$2</definedName>
    <definedName name="ColumnTitleRegion1..I8.11">Nov!$C$2</definedName>
    <definedName name="ColumnTitleRegion1..I8.12">Dic!$C$2</definedName>
    <definedName name="ColumnTitleRegion1..I8.2">Feb!$C$2</definedName>
    <definedName name="ColumnTitleRegion1..I8.3">Mar!$C$2</definedName>
    <definedName name="ColumnTitleRegion1..I8.4">Abr!$C$2</definedName>
    <definedName name="ColumnTitleRegion1..I8.5">May!$C$2</definedName>
    <definedName name="ColumnTitleRegion1..I8.6">Jun!$C$2</definedName>
    <definedName name="ColumnTitleRegion1..I8.7">Jul!$C$2</definedName>
    <definedName name="ColumnTitleRegion1..I8.8">Ago!$C$2</definedName>
    <definedName name="ColumnTitleRegion1..I8.9">Sep!$C$2</definedName>
    <definedName name="DecDom1">DATE(AñoCalendario,12,1)-WEEKDAY(DATE(AñoCalendario,12,1))+1</definedName>
    <definedName name="FebDom1">DATE(AñoCalendario,2,1)-WEEKDAY(DATE(AñoCalendario,2,1))+1</definedName>
    <definedName name="ImportantDatesTable" localSheetId="3">Abr!$K$2:$L$6</definedName>
    <definedName name="ImportantDatesTable" localSheetId="7">Ago!$K$2:$L$6</definedName>
    <definedName name="ImportantDatesTable" localSheetId="11">Dic!$K$2:$L$6</definedName>
    <definedName name="ImportantDatesTable" localSheetId="1">Feb!$K$2:$L$6</definedName>
    <definedName name="ImportantDatesTable" localSheetId="6">Jul!$K$2:$L$6</definedName>
    <definedName name="ImportantDatesTable" localSheetId="5">Jun!$K$2:$L$6</definedName>
    <definedName name="ImportantDatesTable" localSheetId="2">Mar!$K$2:$L$6</definedName>
    <definedName name="ImportantDatesTable" localSheetId="4">May!$K$2:$L$6</definedName>
    <definedName name="ImportantDatesTable" localSheetId="10">Nov!$K$2:$L$6</definedName>
    <definedName name="ImportantDatesTable" localSheetId="9">Oct!$K$2:$L$6</definedName>
    <definedName name="ImportantDatesTable" localSheetId="8">Sep!$K$2:$L$6</definedName>
    <definedName name="ImportantDatesTable">Ene!$K$2:$L$6</definedName>
    <definedName name="JanDom1">DATE(AñoCalendario,1,1)-WEEKDAY(DATE(AñoCalendario,1,1))+1</definedName>
    <definedName name="JulDom1">DATE(AñoCalendario,7,1)-WEEKDAY(DATE(AñoCalendario,7,1))+1</definedName>
    <definedName name="JunDom1">DATE(AñoCalendario,6,1)-WEEKDAY(DATE(AñoCalendario,6,1))+1</definedName>
    <definedName name="MarDom1">DATE(AñoCalendario,3,1)-WEEKDAY(DATE(AñoCalendario,3,1))+1</definedName>
    <definedName name="MayDom1">DATE(AñoCalendario,5,1)-WEEKDAY(DATE(AñoCalendario,5,1))+1</definedName>
    <definedName name="NovDom1">DATE(AñoCalendario,11,1)-WEEKDAY(DATE(AñoCalendario,11,1))+1</definedName>
    <definedName name="OctDom1">DATE(AñoCalendario,10,1)-WEEKDAY(DATE(AñoCalendario,10,1))+1</definedName>
    <definedName name="SepDom1">DATE(AñoCalendario,9,1)-WEEKDAY(DATE(AñoCalendario,9,1))+1</definedName>
    <definedName name="TitleRegion2..I31.1">Ene!$A$11</definedName>
    <definedName name="TitleRegion2..I31.10">Oct!$A$11</definedName>
    <definedName name="TitleRegion2..I31.11">Nov!$A$11</definedName>
    <definedName name="TitleRegion2..I31.12">Dic!$A$11</definedName>
    <definedName name="TitleRegion2..I31.2">Feb!$A$11</definedName>
    <definedName name="TitleRegion2..I31.3">Mar!$A$11</definedName>
    <definedName name="TitleRegion2..I31.4">Abr!$A$11</definedName>
    <definedName name="TitleRegion2..I31.5">May!$A$11</definedName>
    <definedName name="TitleRegion2..I31.6">Jun!$A$11</definedName>
    <definedName name="TitleRegion2..I31.7">Jul!$A$11</definedName>
    <definedName name="TitleRegion2..I31.8">Ago!$A$11</definedName>
    <definedName name="TitleRegion2..I31.9">Sep!$A$11</definedName>
    <definedName name="TítuloDeColumna1">EneroTareas[[#Headers],[Día de la semana]]</definedName>
    <definedName name="TítuloDeColumna10">OctubreTareas[[#Headers],[Día de la semana]]</definedName>
    <definedName name="TítuloDeColumna11">NoviembreTareas[[#Headers],[Día de la semana]]</definedName>
    <definedName name="TítuloDeColumna12">DiciembreTareas[[#Headers],[Día de la semana]]</definedName>
    <definedName name="TítuloDeColumna2">FebreroTareas[[#Headers],[Día de la semana]]</definedName>
    <definedName name="TítuloDeColumna3">MarzoTareas[[#Headers],[Día de la semana]]</definedName>
    <definedName name="TítuloDeColumna4">AbrilTareas[[#Headers],[Día de la semana]]</definedName>
    <definedName name="TítuloDeColumna5">MayoTareas[[#Headers],[Día de la semana]]</definedName>
    <definedName name="TítuloDeColumna6">JunioTareas[[#Headers],[Día de la semana]]</definedName>
    <definedName name="TítuloDeColumna7">JulioTareas[[#Headers],[Día de la semana]]</definedName>
    <definedName name="TítuloDeColumna8">AgostoTareas[[#Headers],[Día de la semana]]</definedName>
    <definedName name="TítuloDeColumna9">SeptiembreTareas[[#Headers],[Día de la semana]]</definedName>
  </definedNames>
  <calcPr calcId="179017"/>
  <extLst>
    <ext xmlns:mx="http://schemas.microsoft.com/office/mac/excel/2008/main" uri="{7523E5D3-25F3-A5E0-1632-64F254C22452}">
      <mx:ArchID Flags="2"/>
    </ext>
  </extLst>
</workbook>
</file>

<file path=xl/calcChain.xml><?xml version="1.0" encoding="utf-8"?>
<calcChain xmlns="http://schemas.openxmlformats.org/spreadsheetml/2006/main">
  <c r="B1" i="1" l="1"/>
  <c r="F8" i="22" s="1"/>
  <c r="D4" i="1" l="1"/>
  <c r="H5" i="1"/>
  <c r="H7" i="1"/>
  <c r="D3" i="6"/>
  <c r="D5" i="6"/>
  <c r="D7" i="6"/>
  <c r="H8" i="6"/>
  <c r="H5" i="17"/>
  <c r="G6" i="17"/>
  <c r="G6" i="19"/>
  <c r="E4" i="1"/>
  <c r="I5" i="1"/>
  <c r="I7" i="1"/>
  <c r="H3" i="6"/>
  <c r="E5" i="6"/>
  <c r="E7" i="6"/>
  <c r="I8" i="6"/>
  <c r="E6" i="17"/>
  <c r="H7" i="17"/>
  <c r="H6" i="20"/>
  <c r="F4" i="1"/>
  <c r="C8" i="1"/>
  <c r="I3" i="6"/>
  <c r="F5" i="6"/>
  <c r="F7" i="6"/>
  <c r="G5" i="17"/>
  <c r="C3" i="17"/>
  <c r="I7" i="19"/>
  <c r="E6" i="20"/>
  <c r="G3" i="20"/>
  <c r="F6" i="1"/>
  <c r="D8" i="1"/>
  <c r="G7" i="6"/>
  <c r="D6" i="17"/>
  <c r="G3" i="17"/>
  <c r="H5" i="19"/>
  <c r="C3" i="1"/>
  <c r="H4" i="1"/>
  <c r="H6" i="1"/>
  <c r="H8" i="1"/>
  <c r="D4" i="6"/>
  <c r="D6" i="6"/>
  <c r="H7" i="6"/>
  <c r="H6" i="17"/>
  <c r="D4" i="17"/>
  <c r="I6" i="19"/>
  <c r="G7" i="20"/>
  <c r="I8" i="1"/>
  <c r="E4" i="6"/>
  <c r="E6" i="6"/>
  <c r="E8" i="6"/>
  <c r="E7" i="17"/>
  <c r="H4" i="17"/>
  <c r="H4" i="19"/>
  <c r="H8" i="20"/>
  <c r="G4" i="1"/>
  <c r="C4" i="6"/>
  <c r="E5" i="1"/>
  <c r="E3" i="1"/>
  <c r="F5" i="1"/>
  <c r="C7" i="1"/>
  <c r="H3" i="1"/>
  <c r="I4" i="6"/>
  <c r="F6" i="6"/>
  <c r="F8" i="6"/>
  <c r="G4" i="17"/>
  <c r="H8" i="17"/>
  <c r="D8" i="19"/>
  <c r="I8" i="20"/>
  <c r="G6" i="1"/>
  <c r="C6" i="6"/>
  <c r="D3" i="1"/>
  <c r="I6" i="1"/>
  <c r="F3" i="1"/>
  <c r="G5" i="1"/>
  <c r="G7" i="1"/>
  <c r="C3" i="6"/>
  <c r="C5" i="6"/>
  <c r="G6" i="6"/>
  <c r="G8" i="6"/>
  <c r="D5" i="17"/>
  <c r="D3" i="17"/>
  <c r="E3" i="19"/>
  <c r="D8" i="21"/>
  <c r="I3" i="21"/>
  <c r="D4" i="21"/>
  <c r="D3" i="21"/>
  <c r="C4" i="23"/>
  <c r="F6" i="23"/>
  <c r="D5" i="23"/>
  <c r="I7" i="23"/>
  <c r="I7" i="21"/>
  <c r="G3" i="24"/>
  <c r="E3" i="24"/>
  <c r="I8" i="25"/>
  <c r="C3" i="26"/>
  <c r="D7" i="17"/>
  <c r="E6" i="19"/>
  <c r="H8" i="19"/>
  <c r="F8" i="20"/>
  <c r="D8" i="20"/>
  <c r="E7" i="21"/>
  <c r="H8" i="21"/>
  <c r="G4" i="23"/>
  <c r="G5" i="23"/>
  <c r="D8" i="24"/>
  <c r="C5" i="26"/>
  <c r="G7" i="17"/>
  <c r="D6" i="19"/>
  <c r="C3" i="19"/>
  <c r="I4" i="19"/>
  <c r="I6" i="20"/>
  <c r="E4" i="20"/>
  <c r="F8" i="21"/>
  <c r="H3" i="21"/>
  <c r="G8" i="23"/>
  <c r="D3" i="23"/>
  <c r="H5" i="24"/>
  <c r="C7" i="26"/>
  <c r="D8" i="17"/>
  <c r="H6" i="19"/>
  <c r="G3" i="19"/>
  <c r="F5" i="19"/>
  <c r="F7" i="20"/>
  <c r="I4" i="20"/>
  <c r="C3" i="21"/>
  <c r="E4" i="21"/>
  <c r="I3" i="23"/>
  <c r="G6" i="23"/>
  <c r="G6" i="24"/>
  <c r="I8" i="26"/>
  <c r="E7" i="19"/>
  <c r="D4" i="19"/>
  <c r="C6" i="19"/>
  <c r="C3" i="20"/>
  <c r="F5" i="20"/>
  <c r="G3" i="21"/>
  <c r="H7" i="21"/>
  <c r="C5" i="23"/>
  <c r="D7" i="23"/>
  <c r="E7" i="25"/>
  <c r="B1" i="24"/>
  <c r="E8" i="21"/>
  <c r="E5" i="23"/>
  <c r="E7" i="24"/>
  <c r="D4" i="25"/>
  <c r="I8" i="18"/>
  <c r="C6" i="17"/>
  <c r="D5" i="19"/>
  <c r="G7" i="19"/>
  <c r="C5" i="20"/>
  <c r="D4" i="20"/>
  <c r="E3" i="21"/>
  <c r="G7" i="21"/>
  <c r="I8" i="21"/>
  <c r="I5" i="23"/>
  <c r="C4" i="24"/>
  <c r="D8" i="25"/>
  <c r="C5" i="18"/>
  <c r="H7" i="23"/>
  <c r="H8" i="24"/>
  <c r="G5" i="25"/>
  <c r="H4" i="25"/>
  <c r="I3" i="26"/>
  <c r="F6" i="26"/>
  <c r="B1" i="26"/>
  <c r="H4" i="18"/>
  <c r="F8" i="24"/>
  <c r="G4" i="24"/>
  <c r="F8" i="25"/>
  <c r="H8" i="25"/>
  <c r="G4" i="26"/>
  <c r="G7" i="26"/>
  <c r="C4" i="18"/>
  <c r="C7" i="18"/>
  <c r="E6" i="25"/>
  <c r="E3" i="25"/>
  <c r="D5" i="26"/>
  <c r="D3" i="26"/>
  <c r="E4" i="18"/>
  <c r="E7" i="18"/>
  <c r="I6" i="24"/>
  <c r="I6" i="25"/>
  <c r="E4" i="25"/>
  <c r="H5" i="26"/>
  <c r="H3" i="26"/>
  <c r="E6" i="18"/>
  <c r="F3" i="22"/>
  <c r="D4" i="24"/>
  <c r="F5" i="24"/>
  <c r="F7" i="25"/>
  <c r="I4" i="25"/>
  <c r="E3" i="26"/>
  <c r="E4" i="26"/>
  <c r="G6" i="18"/>
  <c r="H3" i="22"/>
  <c r="H4" i="24"/>
  <c r="C6" i="24"/>
  <c r="G3" i="25"/>
  <c r="F5" i="25"/>
  <c r="D6" i="26"/>
  <c r="E8" i="26"/>
  <c r="G8" i="18"/>
  <c r="H5" i="22"/>
  <c r="C6" i="22"/>
  <c r="C8" i="22"/>
  <c r="E8" i="22"/>
  <c r="D4" i="22"/>
  <c r="F4" i="22"/>
  <c r="F6" i="22"/>
  <c r="H6" i="22"/>
  <c r="H8" i="22"/>
  <c r="G3" i="1"/>
  <c r="I4" i="1"/>
  <c r="C6" i="1"/>
  <c r="D7" i="1"/>
  <c r="E8" i="1"/>
  <c r="E3" i="6"/>
  <c r="F4" i="6"/>
  <c r="G5" i="6"/>
  <c r="H6" i="6"/>
  <c r="I7" i="6"/>
  <c r="E3" i="17"/>
  <c r="I7" i="17"/>
  <c r="I6" i="17"/>
  <c r="E5" i="17"/>
  <c r="H3" i="17"/>
  <c r="E8" i="17"/>
  <c r="F8" i="19"/>
  <c r="F7" i="19"/>
  <c r="E5" i="19"/>
  <c r="F4" i="19"/>
  <c r="D7" i="19"/>
  <c r="F3" i="20"/>
  <c r="C8" i="20"/>
  <c r="H4" i="20"/>
  <c r="F4" i="20"/>
  <c r="C6" i="20"/>
  <c r="F4" i="21"/>
  <c r="G8" i="21"/>
  <c r="H4" i="21"/>
  <c r="F3" i="21"/>
  <c r="I4" i="21"/>
  <c r="F4" i="23"/>
  <c r="H5" i="23"/>
  <c r="E7" i="23"/>
  <c r="C7" i="23"/>
  <c r="H3" i="23"/>
  <c r="E8" i="23"/>
  <c r="D5" i="24"/>
  <c r="E5" i="24"/>
  <c r="F4" i="24"/>
  <c r="C8" i="24"/>
  <c r="D7" i="24"/>
  <c r="F3" i="25"/>
  <c r="C8" i="25"/>
  <c r="E5" i="25"/>
  <c r="C5" i="25"/>
  <c r="C6" i="25"/>
  <c r="H6" i="26"/>
  <c r="E6" i="26"/>
  <c r="G3" i="26"/>
  <c r="D8" i="26"/>
  <c r="I4" i="26"/>
  <c r="B1" i="6"/>
  <c r="B1" i="22"/>
  <c r="G4" i="18"/>
  <c r="I6" i="18"/>
  <c r="C3" i="18"/>
  <c r="E5" i="18"/>
  <c r="G7" i="18"/>
  <c r="C4" i="22"/>
  <c r="E6" i="22"/>
  <c r="G8" i="22"/>
  <c r="H4" i="22"/>
  <c r="C7" i="22"/>
  <c r="I3" i="1"/>
  <c r="C5" i="1"/>
  <c r="D6" i="1"/>
  <c r="E7" i="1"/>
  <c r="F8" i="1"/>
  <c r="F3" i="6"/>
  <c r="G4" i="6"/>
  <c r="H5" i="6"/>
  <c r="I6" i="6"/>
  <c r="C8" i="6"/>
  <c r="I3" i="17"/>
  <c r="F8" i="17"/>
  <c r="F7" i="17"/>
  <c r="I5" i="17"/>
  <c r="E4" i="17"/>
  <c r="I8" i="17"/>
  <c r="F3" i="19"/>
  <c r="C8" i="19"/>
  <c r="I5" i="19"/>
  <c r="D3" i="19"/>
  <c r="H7" i="19"/>
  <c r="C4" i="20"/>
  <c r="G8" i="20"/>
  <c r="E5" i="20"/>
  <c r="D6" i="20"/>
  <c r="G6" i="20"/>
  <c r="C5" i="21"/>
  <c r="C4" i="21"/>
  <c r="E5" i="21"/>
  <c r="G4" i="21"/>
  <c r="F5" i="21"/>
  <c r="D6" i="23"/>
  <c r="E6" i="23"/>
  <c r="C3" i="23"/>
  <c r="G7" i="23"/>
  <c r="E4" i="23"/>
  <c r="I8" i="23"/>
  <c r="E6" i="24"/>
  <c r="I5" i="24"/>
  <c r="G5" i="24"/>
  <c r="D3" i="24"/>
  <c r="H7" i="24"/>
  <c r="C4" i="25"/>
  <c r="G8" i="25"/>
  <c r="I5" i="25"/>
  <c r="D6" i="25"/>
  <c r="G6" i="25"/>
  <c r="I7" i="26"/>
  <c r="I6" i="26"/>
  <c r="D4" i="26"/>
  <c r="H8" i="26"/>
  <c r="F5" i="26"/>
  <c r="B1" i="25"/>
  <c r="B1" i="20"/>
  <c r="I4" i="18"/>
  <c r="D7" i="18"/>
  <c r="E3" i="18"/>
  <c r="G5" i="18"/>
  <c r="I7" i="18"/>
  <c r="E4" i="22"/>
  <c r="G6" i="22"/>
  <c r="I8" i="22"/>
  <c r="C5" i="22"/>
  <c r="E7" i="22"/>
  <c r="C4" i="1"/>
  <c r="D5" i="1"/>
  <c r="E6" i="1"/>
  <c r="F7" i="1"/>
  <c r="G8" i="1"/>
  <c r="G3" i="6"/>
  <c r="H4" i="6"/>
  <c r="I5" i="6"/>
  <c r="C7" i="6"/>
  <c r="D8" i="6"/>
  <c r="F4" i="17"/>
  <c r="F3" i="17"/>
  <c r="C8" i="17"/>
  <c r="F6" i="17"/>
  <c r="I4" i="17"/>
  <c r="I3" i="19"/>
  <c r="C4" i="19"/>
  <c r="G8" i="19"/>
  <c r="F6" i="19"/>
  <c r="H3" i="19"/>
  <c r="E8" i="19"/>
  <c r="G4" i="20"/>
  <c r="I3" i="20"/>
  <c r="I5" i="20"/>
  <c r="E7" i="20"/>
  <c r="D7" i="20"/>
  <c r="G5" i="21"/>
  <c r="D5" i="21"/>
  <c r="I5" i="21"/>
  <c r="H5" i="21"/>
  <c r="C6" i="21"/>
  <c r="H6" i="23"/>
  <c r="I6" i="23"/>
  <c r="G3" i="23"/>
  <c r="D8" i="23"/>
  <c r="I4" i="23"/>
  <c r="I3" i="24"/>
  <c r="F7" i="24"/>
  <c r="F6" i="24"/>
  <c r="H6" i="24"/>
  <c r="H3" i="24"/>
  <c r="E8" i="24"/>
  <c r="G4" i="25"/>
  <c r="F4" i="25"/>
  <c r="F6" i="25"/>
  <c r="I7" i="25"/>
  <c r="D7" i="25"/>
  <c r="F8" i="26"/>
  <c r="F7" i="26"/>
  <c r="H4" i="26"/>
  <c r="F4" i="26"/>
  <c r="C6" i="26"/>
  <c r="B1" i="23"/>
  <c r="B1" i="18"/>
  <c r="D5" i="18"/>
  <c r="F7" i="18"/>
  <c r="G3" i="18"/>
  <c r="I5" i="18"/>
  <c r="D8" i="18"/>
  <c r="G4" i="22"/>
  <c r="I6" i="22"/>
  <c r="C3" i="22"/>
  <c r="E5" i="22"/>
  <c r="G7" i="22"/>
  <c r="C5" i="17"/>
  <c r="C4" i="17"/>
  <c r="G8" i="17"/>
  <c r="C7" i="17"/>
  <c r="F5" i="17"/>
  <c r="G5" i="19"/>
  <c r="G4" i="19"/>
  <c r="C5" i="19"/>
  <c r="C7" i="19"/>
  <c r="E4" i="19"/>
  <c r="I8" i="19"/>
  <c r="D5" i="20"/>
  <c r="G5" i="20"/>
  <c r="F6" i="20"/>
  <c r="D3" i="20"/>
  <c r="H7" i="20"/>
  <c r="D6" i="21"/>
  <c r="E6" i="21"/>
  <c r="F6" i="21"/>
  <c r="I6" i="21"/>
  <c r="G6" i="21"/>
  <c r="F8" i="23"/>
  <c r="F7" i="23"/>
  <c r="D4" i="23"/>
  <c r="H8" i="23"/>
  <c r="F5" i="23"/>
  <c r="C5" i="24"/>
  <c r="G8" i="24"/>
  <c r="C7" i="24"/>
  <c r="I7" i="24"/>
  <c r="E4" i="24"/>
  <c r="I8" i="24"/>
  <c r="D5" i="25"/>
  <c r="H6" i="25"/>
  <c r="C7" i="25"/>
  <c r="D3" i="25"/>
  <c r="H7" i="25"/>
  <c r="F3" i="26"/>
  <c r="C8" i="26"/>
  <c r="E5" i="26"/>
  <c r="G5" i="26"/>
  <c r="G6" i="26"/>
  <c r="B1" i="21"/>
  <c r="D3" i="18"/>
  <c r="F5" i="18"/>
  <c r="H7" i="18"/>
  <c r="I3" i="18"/>
  <c r="D6" i="18"/>
  <c r="F8" i="18"/>
  <c r="I4" i="22"/>
  <c r="D7" i="22"/>
  <c r="E3" i="22"/>
  <c r="G5" i="22"/>
  <c r="I7" i="22"/>
  <c r="E3" i="20"/>
  <c r="H5" i="20"/>
  <c r="I7" i="20"/>
  <c r="C7" i="20"/>
  <c r="H3" i="20"/>
  <c r="E8" i="20"/>
  <c r="H6" i="21"/>
  <c r="F7" i="21"/>
  <c r="C7" i="21"/>
  <c r="C8" i="21"/>
  <c r="D7" i="21"/>
  <c r="F3" i="23"/>
  <c r="C8" i="23"/>
  <c r="H4" i="23"/>
  <c r="E3" i="23"/>
  <c r="C6" i="23"/>
  <c r="D6" i="24"/>
  <c r="C3" i="24"/>
  <c r="G7" i="24"/>
  <c r="F3" i="24"/>
  <c r="I4" i="24"/>
  <c r="I3" i="25"/>
  <c r="H5" i="25"/>
  <c r="C3" i="25"/>
  <c r="G7" i="25"/>
  <c r="H3" i="25"/>
  <c r="E8" i="25"/>
  <c r="C4" i="26"/>
  <c r="G8" i="26"/>
  <c r="I5" i="26"/>
  <c r="E7" i="26"/>
  <c r="D7" i="26"/>
  <c r="B1" i="19"/>
  <c r="F3" i="18"/>
  <c r="H5" i="18"/>
  <c r="C8" i="18"/>
  <c r="D4" i="18"/>
  <c r="F6" i="18"/>
  <c r="H8" i="18"/>
  <c r="D5" i="22"/>
  <c r="F7" i="22"/>
  <c r="G3" i="22"/>
  <c r="I5" i="22"/>
  <c r="D8" i="22"/>
  <c r="H7" i="26"/>
  <c r="B1" i="17"/>
  <c r="H3" i="18"/>
  <c r="C6" i="18"/>
  <c r="E8" i="18"/>
  <c r="F4" i="18"/>
  <c r="H6" i="18"/>
  <c r="D3" i="22"/>
  <c r="F5" i="22"/>
  <c r="H7" i="22"/>
  <c r="I3" i="22"/>
  <c r="D6" i="22"/>
</calcChain>
</file>

<file path=xl/sharedStrings.xml><?xml version="1.0" encoding="utf-8"?>
<sst xmlns="http://schemas.openxmlformats.org/spreadsheetml/2006/main" count="724" uniqueCount="74">
  <si>
    <t>Día de la semana</t>
  </si>
  <si>
    <t>Hora</t>
  </si>
  <si>
    <t>Clase</t>
  </si>
  <si>
    <t>ENE</t>
  </si>
  <si>
    <t>PROGRAMACIÓN SEMANAL</t>
  </si>
  <si>
    <t>Francés</t>
  </si>
  <si>
    <t>10:00</t>
  </si>
  <si>
    <t>Matemáticas</t>
  </si>
  <si>
    <t>14:00</t>
  </si>
  <si>
    <t>Inglés</t>
  </si>
  <si>
    <t>Escriba el año natural en la celda B1 a la izquierda.</t>
  </si>
  <si>
    <t>Historia del arte</t>
  </si>
  <si>
    <t>16:00</t>
  </si>
  <si>
    <t>Programación</t>
  </si>
  <si>
    <t>día de calendario</t>
  </si>
  <si>
    <t>TAREAS</t>
  </si>
  <si>
    <t>Francés: Fecha de entrega del borrador del primer artículo</t>
  </si>
  <si>
    <t>Historia del arte: Prueba</t>
  </si>
  <si>
    <t>FEB</t>
  </si>
  <si>
    <t>MAR</t>
  </si>
  <si>
    <t>ABR</t>
  </si>
  <si>
    <t>MAY</t>
  </si>
  <si>
    <t>JUN</t>
  </si>
  <si>
    <t>JUL</t>
  </si>
  <si>
    <t>AGO</t>
  </si>
  <si>
    <t>SEP</t>
  </si>
  <si>
    <t>OCT</t>
  </si>
  <si>
    <t>NOV</t>
  </si>
  <si>
    <t>DIC</t>
  </si>
  <si>
    <t>LU</t>
  </si>
  <si>
    <t>MA</t>
  </si>
  <si>
    <t>MI</t>
  </si>
  <si>
    <t>JU</t>
  </si>
  <si>
    <t>VI</t>
  </si>
  <si>
    <t>SÁ</t>
  </si>
  <si>
    <t>DO</t>
  </si>
  <si>
    <t>Comienzo de año lectivo 2018 UTN FRC</t>
  </si>
  <si>
    <t>1 º Clase de Ingenieria de Software - Intrduccion a la materia</t>
  </si>
  <si>
    <t xml:space="preserve">Clase Teorica ISW </t>
  </si>
  <si>
    <t>Clase Practica - 1º Practico Evaluable  SCM (en clases)</t>
  </si>
  <si>
    <t>Clase Teorica: Administración de
Configuración de Software</t>
  </si>
  <si>
    <t>ISW</t>
  </si>
  <si>
    <t>Clase Practica ISW</t>
  </si>
  <si>
    <t>Practico</t>
  </si>
  <si>
    <t>Feriado - Viernes Santo</t>
  </si>
  <si>
    <t>Feriado - Jueves Santo</t>
  </si>
  <si>
    <t>Feriado - Dia del veterano y caido de Malvinas</t>
  </si>
  <si>
    <t>Feriado - Dia del Trabajador</t>
  </si>
  <si>
    <t>Feriado - Dia de la Revolucion de Mayo</t>
  </si>
  <si>
    <t>Feriado - Puente</t>
  </si>
  <si>
    <t>Feriado: Paso a la inmortalidad General Martin de Guemes</t>
  </si>
  <si>
    <t xml:space="preserve">2º Parcial Teorico-Practico  </t>
  </si>
  <si>
    <t>Fin del 1º Cuatrimertre - Fin Cursado Ing. De Software</t>
  </si>
  <si>
    <t>TAREAS - Comentarios</t>
  </si>
  <si>
    <t xml:space="preserve">Entrega de TP Evaluable 1º - 2º Trabajo Practico Evaluable (En clases) </t>
  </si>
  <si>
    <t xml:space="preserve">Hacer TP3 en clases </t>
  </si>
  <si>
    <t>Entrega de TP Evaluable 2º . Notas TP1:4  TP2:7 - Introduccion de conceptos de testing</t>
  </si>
  <si>
    <t xml:space="preserve">Clase Teorica: Meles: Final de temas de SCM con repaso de clase pasada </t>
  </si>
  <si>
    <t>Clase Teorica: Testing de Software</t>
  </si>
  <si>
    <t>Llevar dudas de temas del 1er tp teorico. Clase teorica: Revisiones tecnicas</t>
  </si>
  <si>
    <t>Revision final de Pecha Kucha antes de presentar</t>
  </si>
  <si>
    <t>TP4 ejercicio en clases, tipo parcal</t>
  </si>
  <si>
    <t>Entregar TP5 - Practico Evaluable</t>
  </si>
  <si>
    <t>1er Teorico Grupal - Pecha Kucha; Nota: 7 temas al parcial Teoricos Papers: No hay Balas de Plata y  Snowden HBR Cynefin A Leader’s Framework for Decision Making Color</t>
  </si>
  <si>
    <t>Clase Teorica de Proceso de SW</t>
  </si>
  <si>
    <t>Clase Teorica de  Consultas antes del parcial</t>
  </si>
  <si>
    <t>Clase Practica de Reviciones tecnicas, comienzo del TP7 Entregable</t>
  </si>
  <si>
    <t>Entregar TP7 de Reviciones Tecnicas</t>
  </si>
  <si>
    <t xml:space="preserve">1º Parcial Teorico-Practico (No va SCM practico)  </t>
  </si>
  <si>
    <t>Clase Teorica de Metodologias Agiles</t>
  </si>
  <si>
    <t>Clase de repaso de US  y Estimaciones. TP9 realizado en clases. Muestra de parciales Parte Practica.</t>
  </si>
  <si>
    <t>Clase Teorica-practica de US. Realizacion de TP8 en clases.</t>
  </si>
  <si>
    <t>Realizacion de TP10 en clases. Llevar materiales</t>
  </si>
  <si>
    <t>Recuperatorio de Parcial Teorico/Practico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</si>
</sst>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_(&quot;$&quot;* #,##0_);_(&quot;$&quot;* \(#,##0\);_(&quot;$&quot;* &quot;-&quot;_);_(@_)"/>
    <numFmt numFmtId="165" formatCode="_(* #,##0_);_(* \(#,##0\);_(* &quot;-&quot;_);_(@_)"/>
    <numFmt numFmtId="166" formatCode="_(&quot;$&quot;* #,##0.00_);_(&quot;$&quot;* \(#,##0.00\);_(&quot;$&quot;* &quot;-&quot;??_);_(@_)"/>
    <numFmt numFmtId="167" formatCode="_(* #,##0.00_);_(* \(#,##0.00\);_(* &quot;-&quot;??_);_(@_)"/>
    <numFmt numFmtId="168" formatCode="d"/>
    <numFmt numFmtId="169" formatCode="[$-C0A]mmmmm;@"/>
  </numFmts>
  <fonts count="20" x14ac:knownFonts="1">
    <font>
      <sz val="11"/>
      <color theme="1"/>
      <name val="Arial"/>
      <family val="2"/>
      <scheme val="minor"/>
    </font>
    <font>
      <sz val="11"/>
      <color theme="1"/>
      <name val="Arial"/>
      <family val="2"/>
      <scheme val="minor"/>
    </font>
    <font>
      <sz val="8"/>
      <name val="Arial"/>
      <family val="2"/>
      <scheme val="minor"/>
    </font>
    <font>
      <sz val="10"/>
      <color theme="1" tint="0.249977111117893"/>
      <name val="Arial"/>
      <family val="2"/>
      <scheme val="minor"/>
    </font>
    <font>
      <sz val="12"/>
      <color theme="1" tint="0.249977111117893"/>
      <name val="Arial"/>
      <family val="2"/>
      <scheme val="minor"/>
    </font>
    <font>
      <sz val="11"/>
      <color theme="1"/>
      <name val="Arial"/>
      <family val="2"/>
      <scheme val="minor"/>
    </font>
    <font>
      <sz val="11"/>
      <color theme="0"/>
      <name val="Arial"/>
      <family val="2"/>
      <scheme val="minor"/>
    </font>
    <font>
      <b/>
      <sz val="24"/>
      <color theme="4" tint="-0.499984740745262"/>
      <name val="Arial"/>
      <family val="2"/>
      <scheme val="minor"/>
    </font>
    <font>
      <b/>
      <sz val="17"/>
      <color theme="4" tint="-0.499984740745262"/>
      <name val="Arial"/>
      <family val="2"/>
      <scheme val="minor"/>
    </font>
    <font>
      <b/>
      <sz val="12"/>
      <color theme="4" tint="-0.499984740745262"/>
      <name val="Arial"/>
      <family val="2"/>
      <scheme val="minor"/>
    </font>
    <font>
      <b/>
      <sz val="11"/>
      <color theme="4" tint="-0.499984740745262"/>
      <name val="Arial"/>
      <family val="2"/>
      <scheme val="minor"/>
    </font>
    <font>
      <b/>
      <sz val="11"/>
      <color theme="1"/>
      <name val="Arial"/>
      <family val="2"/>
      <scheme val="minor"/>
    </font>
    <font>
      <b/>
      <sz val="18"/>
      <color theme="4" tint="-0.499984740745262"/>
      <name val="Arial"/>
      <family val="2"/>
      <scheme val="major"/>
    </font>
    <font>
      <sz val="11"/>
      <name val="Arial"/>
      <family val="2"/>
      <scheme val="minor"/>
    </font>
    <font>
      <sz val="11"/>
      <color theme="1"/>
      <name val="Arial"/>
      <family val="2"/>
      <scheme val="major"/>
    </font>
    <font>
      <sz val="11"/>
      <color indexed="8"/>
      <name val="Arial"/>
      <family val="2"/>
      <scheme val="major"/>
    </font>
    <font>
      <sz val="10"/>
      <color theme="1"/>
      <name val="Arial"/>
      <family val="2"/>
      <scheme val="minor"/>
    </font>
    <font>
      <b/>
      <sz val="18"/>
      <color theme="1"/>
      <name val="Arial"/>
      <family val="2"/>
      <scheme val="major"/>
    </font>
    <font>
      <b/>
      <sz val="17"/>
      <color theme="1"/>
      <name val="Arial"/>
      <family val="2"/>
      <scheme val="minor"/>
    </font>
    <font>
      <b/>
      <sz val="24"/>
      <color theme="1"/>
      <name val="Arial"/>
      <family val="2"/>
      <scheme val="minor"/>
    </font>
  </fonts>
  <fills count="5">
    <fill>
      <patternFill patternType="none"/>
    </fill>
    <fill>
      <patternFill patternType="gray125"/>
    </fill>
    <fill>
      <patternFill patternType="solid">
        <fgColor theme="0" tint="-4.9989318521683403E-2"/>
        <bgColor indexed="64"/>
      </patternFill>
    </fill>
    <fill>
      <patternFill patternType="solid">
        <fgColor rgb="FFFFFFCC"/>
      </patternFill>
    </fill>
    <fill>
      <patternFill patternType="solid">
        <fgColor theme="4" tint="-0.499984740745262"/>
        <bgColor indexed="64"/>
      </patternFill>
    </fill>
  </fills>
  <borders count="11">
    <border>
      <left/>
      <right/>
      <top/>
      <bottom/>
      <diagonal/>
    </border>
    <border>
      <left style="thin">
        <color theme="4" tint="0.79998168889431442"/>
      </left>
      <right style="thin">
        <color theme="0"/>
      </right>
      <top/>
      <bottom/>
      <diagonal/>
    </border>
    <border>
      <left/>
      <right style="thin">
        <color theme="4" tint="0.79998168889431442"/>
      </right>
      <top/>
      <bottom/>
      <diagonal/>
    </border>
    <border>
      <left style="thin">
        <color theme="0"/>
      </left>
      <right/>
      <top/>
      <bottom/>
      <diagonal/>
    </border>
    <border>
      <left style="thin">
        <color theme="0"/>
      </left>
      <right/>
      <top style="thin">
        <color theme="0"/>
      </top>
      <bottom/>
      <diagonal/>
    </border>
    <border>
      <left style="thin">
        <color rgb="FFB2B2B2"/>
      </left>
      <right style="thin">
        <color rgb="FFB2B2B2"/>
      </right>
      <top style="thin">
        <color rgb="FFB2B2B2"/>
      </top>
      <bottom style="thin">
        <color rgb="FFB2B2B2"/>
      </bottom>
      <diagonal/>
    </border>
    <border>
      <left/>
      <right/>
      <top style="thin">
        <color theme="4" tint="-0.499984740745262"/>
      </top>
      <bottom/>
      <diagonal/>
    </border>
    <border>
      <left/>
      <right/>
      <top/>
      <bottom style="thin">
        <color theme="4" tint="-0.499984740745262"/>
      </bottom>
      <diagonal/>
    </border>
    <border>
      <left style="thin">
        <color theme="4" tint="0.79998168889431442"/>
      </left>
      <right/>
      <top/>
      <bottom/>
      <diagonal/>
    </border>
    <border>
      <left/>
      <right style="thin">
        <color theme="4" tint="-0.499984740745262"/>
      </right>
      <top/>
      <bottom/>
      <diagonal/>
    </border>
    <border>
      <left style="thin">
        <color theme="0"/>
      </left>
      <right style="thin">
        <color theme="0"/>
      </right>
      <top/>
      <bottom/>
      <diagonal/>
    </border>
  </borders>
  <cellStyleXfs count="22">
    <xf numFmtId="0" fontId="0" fillId="0" borderId="0">
      <alignment wrapText="1"/>
    </xf>
    <xf numFmtId="0" fontId="12" fillId="0" borderId="0" applyFill="0" applyBorder="0" applyProtection="0">
      <alignment horizontal="center" vertical="center"/>
    </xf>
    <xf numFmtId="169" fontId="7" fillId="0" borderId="0" applyFill="0" applyBorder="0" applyProtection="0">
      <alignment horizontal="center" vertical="center"/>
    </xf>
    <xf numFmtId="0" fontId="8" fillId="0" borderId="0" applyFill="0" applyProtection="0">
      <alignment horizontal="left" vertical="center" indent="2"/>
    </xf>
    <xf numFmtId="0" fontId="9" fillId="0" borderId="0" applyNumberFormat="0" applyFill="0" applyBorder="0" applyProtection="0">
      <alignment horizontal="left" vertical="center"/>
    </xf>
    <xf numFmtId="0" fontId="9" fillId="0" borderId="0" applyFill="0" applyBorder="0" applyProtection="0"/>
    <xf numFmtId="167" fontId="1" fillId="0" borderId="0" applyFill="0" applyBorder="0" applyAlignment="0" applyProtection="0"/>
    <xf numFmtId="165" fontId="1" fillId="0" borderId="0" applyFill="0" applyBorder="0" applyAlignment="0" applyProtection="0"/>
    <xf numFmtId="166" fontId="1" fillId="0" borderId="0" applyFill="0" applyBorder="0" applyAlignment="0" applyProtection="0"/>
    <xf numFmtId="164" fontId="1" fillId="0" borderId="0" applyFill="0" applyBorder="0" applyAlignment="0" applyProtection="0"/>
    <xf numFmtId="9" fontId="1" fillId="0" borderId="0" applyFill="0" applyBorder="0" applyAlignment="0" applyProtection="0"/>
    <xf numFmtId="0" fontId="5" fillId="3" borderId="5" applyNumberFormat="0" applyAlignment="0" applyProtection="0"/>
    <xf numFmtId="0" fontId="6" fillId="4" borderId="1">
      <alignment horizontal="left" indent="1"/>
    </xf>
    <xf numFmtId="0" fontId="10" fillId="0" borderId="0">
      <alignment vertical="center"/>
    </xf>
    <xf numFmtId="0" fontId="10" fillId="0" borderId="6" applyNumberFormat="0" applyFont="0" applyFill="0" applyAlignment="0" applyProtection="0">
      <alignment horizontal="left" vertical="center" indent="2"/>
    </xf>
    <xf numFmtId="1" fontId="11" fillId="0" borderId="0" applyFill="0" applyBorder="0">
      <alignment horizontal="center"/>
    </xf>
    <xf numFmtId="0" fontId="13" fillId="0" borderId="7" applyNumberFormat="0" applyFont="0" applyFill="0" applyAlignment="0" applyProtection="0">
      <alignment horizontal="center"/>
    </xf>
    <xf numFmtId="0" fontId="13" fillId="0" borderId="9" applyNumberFormat="0" applyFont="0" applyFill="0" applyAlignment="0" applyProtection="0"/>
    <xf numFmtId="168" fontId="4" fillId="0" borderId="0" applyNumberFormat="0" applyFill="0" applyBorder="0">
      <alignment horizontal="left" vertical="center" indent="1"/>
    </xf>
    <xf numFmtId="0" fontId="13" fillId="2" borderId="0" applyFont="0" applyBorder="0">
      <alignment horizontal="left" vertical="top" indent="1"/>
    </xf>
    <xf numFmtId="0" fontId="6" fillId="0" borderId="0" applyNumberFormat="0" applyFill="0" applyBorder="0" applyAlignment="0">
      <alignment wrapText="1"/>
    </xf>
    <xf numFmtId="20" fontId="13" fillId="2" borderId="0" applyFill="0" applyBorder="0">
      <alignment horizontal="left" indent="1"/>
    </xf>
  </cellStyleXfs>
  <cellXfs count="79">
    <xf numFmtId="0" fontId="0" fillId="0" borderId="0" xfId="0">
      <alignment wrapText="1"/>
    </xf>
    <xf numFmtId="0" fontId="0" fillId="0" borderId="0" xfId="0" applyFont="1">
      <alignment wrapText="1"/>
    </xf>
    <xf numFmtId="0" fontId="0" fillId="0" borderId="0" xfId="0">
      <alignment wrapText="1"/>
    </xf>
    <xf numFmtId="0" fontId="6" fillId="4" borderId="9" xfId="17" applyFont="1" applyFill="1" applyAlignment="1">
      <alignment horizontal="left" indent="1"/>
    </xf>
    <xf numFmtId="0" fontId="9" fillId="0" borderId="6" xfId="14" applyFont="1" applyAlignment="1">
      <alignment vertical="center"/>
    </xf>
    <xf numFmtId="0" fontId="10" fillId="0" borderId="0" xfId="13">
      <alignment vertical="center"/>
    </xf>
    <xf numFmtId="168" fontId="4" fillId="0" borderId="0" xfId="18" applyNumberFormat="1" applyFill="1" applyBorder="1">
      <alignment horizontal="left" vertical="center" indent="1"/>
    </xf>
    <xf numFmtId="0" fontId="4" fillId="0" borderId="6" xfId="14" applyNumberFormat="1" applyFont="1" applyAlignment="1">
      <alignment horizontal="left" vertical="center" indent="1"/>
    </xf>
    <xf numFmtId="0" fontId="12" fillId="0" borderId="7" xfId="1" applyBorder="1">
      <alignment horizontal="center" vertical="center"/>
    </xf>
    <xf numFmtId="0" fontId="0" fillId="0" borderId="0" xfId="14" applyFont="1" applyBorder="1" applyAlignment="1">
      <alignment wrapText="1"/>
    </xf>
    <xf numFmtId="0" fontId="9" fillId="0" borderId="0" xfId="5"/>
    <xf numFmtId="0" fontId="8" fillId="0" borderId="0" xfId="3">
      <alignment horizontal="left" vertical="center" indent="2"/>
    </xf>
    <xf numFmtId="0" fontId="12" fillId="0" borderId="0" xfId="1">
      <alignment horizontal="center" vertical="center"/>
    </xf>
    <xf numFmtId="0" fontId="0" fillId="0" borderId="9" xfId="17" applyFont="1" applyAlignment="1">
      <alignment wrapText="1"/>
    </xf>
    <xf numFmtId="0" fontId="6" fillId="4" borderId="1" xfId="12">
      <alignment horizontal="left" indent="1"/>
    </xf>
    <xf numFmtId="0" fontId="9" fillId="0" borderId="0" xfId="5" applyFill="1"/>
    <xf numFmtId="0" fontId="9" fillId="0" borderId="0" xfId="4">
      <alignment horizontal="left" vertical="center"/>
    </xf>
    <xf numFmtId="0" fontId="0" fillId="0" borderId="0" xfId="0">
      <alignment wrapText="1"/>
    </xf>
    <xf numFmtId="0" fontId="0" fillId="0" borderId="7" xfId="16" applyFont="1" applyAlignment="1">
      <alignment wrapText="1"/>
    </xf>
    <xf numFmtId="0" fontId="6" fillId="0" borderId="0" xfId="20">
      <alignment wrapText="1"/>
    </xf>
    <xf numFmtId="0" fontId="9" fillId="0" borderId="7" xfId="5" applyBorder="1"/>
    <xf numFmtId="20" fontId="13" fillId="2" borderId="0" xfId="21">
      <alignment horizontal="left" indent="1"/>
    </xf>
    <xf numFmtId="20" fontId="13" fillId="2" borderId="3" xfId="21" applyBorder="1">
      <alignment horizontal="left" indent="1"/>
    </xf>
    <xf numFmtId="169" fontId="7" fillId="0" borderId="6" xfId="2" applyBorder="1">
      <alignment horizontal="center" vertical="center"/>
    </xf>
    <xf numFmtId="20" fontId="13" fillId="2" borderId="4" xfId="21" applyBorder="1">
      <alignment horizontal="left" indent="1"/>
    </xf>
    <xf numFmtId="0" fontId="6" fillId="4" borderId="1" xfId="12">
      <alignment horizontal="left" indent="1"/>
    </xf>
    <xf numFmtId="0" fontId="6" fillId="0" borderId="9" xfId="20" applyBorder="1" applyAlignment="1">
      <alignment wrapText="1"/>
    </xf>
    <xf numFmtId="0" fontId="0" fillId="2" borderId="0" xfId="19" applyFont="1">
      <alignment horizontal="left" vertical="top" indent="1"/>
    </xf>
    <xf numFmtId="0" fontId="0" fillId="2" borderId="7" xfId="19" applyFont="1" applyBorder="1">
      <alignment horizontal="left" vertical="top" indent="1"/>
    </xf>
    <xf numFmtId="0" fontId="1" fillId="2" borderId="7" xfId="19" applyFont="1" applyBorder="1">
      <alignment horizontal="left" vertical="top" indent="1"/>
    </xf>
    <xf numFmtId="0" fontId="1" fillId="2" borderId="0" xfId="19" applyFont="1">
      <alignment horizontal="left" vertical="top" indent="1"/>
    </xf>
    <xf numFmtId="0" fontId="13" fillId="2" borderId="7" xfId="19" applyBorder="1">
      <alignment horizontal="left" vertical="top" indent="1"/>
    </xf>
    <xf numFmtId="0" fontId="9" fillId="0" borderId="6" xfId="5" applyBorder="1"/>
    <xf numFmtId="169" fontId="7" fillId="0" borderId="0" xfId="2" applyNumberFormat="1">
      <alignment horizontal="center" vertical="center"/>
    </xf>
    <xf numFmtId="20" fontId="13" fillId="2" borderId="0" xfId="21" applyNumberFormat="1">
      <alignment horizontal="left" indent="1"/>
    </xf>
    <xf numFmtId="1" fontId="11" fillId="0" borderId="7" xfId="15" applyFill="1" applyBorder="1">
      <alignment horizontal="center"/>
    </xf>
    <xf numFmtId="1" fontId="11" fillId="0" borderId="0" xfId="15" applyFill="1">
      <alignment horizontal="center"/>
    </xf>
    <xf numFmtId="1" fontId="11" fillId="0" borderId="6" xfId="15" applyFill="1" applyBorder="1">
      <alignment horizontal="center"/>
    </xf>
    <xf numFmtId="0" fontId="9" fillId="0" borderId="7" xfId="5" applyFill="1" applyBorder="1"/>
    <xf numFmtId="168" fontId="4" fillId="0" borderId="7" xfId="18" applyNumberFormat="1" applyFill="1" applyBorder="1">
      <alignment horizontal="left" vertical="center" indent="1"/>
    </xf>
    <xf numFmtId="0" fontId="1" fillId="2" borderId="7" xfId="19" applyFont="1" applyBorder="1">
      <alignment horizontal="left" vertical="top" indent="1"/>
    </xf>
    <xf numFmtId="20" fontId="13" fillId="2" borderId="0" xfId="21" applyNumberFormat="1">
      <alignment horizontal="left" indent="1"/>
    </xf>
    <xf numFmtId="1" fontId="11" fillId="0" borderId="0" xfId="15" applyFill="1" applyBorder="1">
      <alignment horizontal="center"/>
    </xf>
    <xf numFmtId="0" fontId="1" fillId="2" borderId="0" xfId="19" applyFont="1" applyBorder="1">
      <alignment horizontal="left" vertical="top" indent="1"/>
    </xf>
    <xf numFmtId="20" fontId="13" fillId="2" borderId="0" xfId="21" applyNumberFormat="1" applyBorder="1">
      <alignment horizontal="left" indent="1"/>
    </xf>
    <xf numFmtId="0" fontId="9" fillId="0" borderId="0" xfId="5" applyBorder="1"/>
    <xf numFmtId="0" fontId="14" fillId="2" borderId="0" xfId="19" applyFont="1" applyBorder="1">
      <alignment horizontal="left" vertical="top" indent="1"/>
    </xf>
    <xf numFmtId="0" fontId="15" fillId="2" borderId="0" xfId="19" applyFont="1">
      <alignment horizontal="left" vertical="top" indent="1"/>
    </xf>
    <xf numFmtId="0" fontId="0" fillId="0" borderId="0" xfId="0" applyFont="1" applyBorder="1" applyAlignment="1">
      <alignment wrapText="1"/>
    </xf>
    <xf numFmtId="0" fontId="0" fillId="0" borderId="0" xfId="0" applyAlignment="1">
      <alignment wrapText="1"/>
    </xf>
    <xf numFmtId="0" fontId="3" fillId="0" borderId="7" xfId="16" applyFont="1" applyAlignment="1">
      <alignment wrapText="1"/>
    </xf>
    <xf numFmtId="168" fontId="4" fillId="0" borderId="0" xfId="0" applyNumberFormat="1" applyFont="1" applyFill="1" applyAlignment="1">
      <alignment wrapText="1"/>
    </xf>
    <xf numFmtId="20" fontId="13" fillId="0" borderId="7" xfId="16" applyNumberFormat="1" applyFill="1" applyAlignment="1"/>
    <xf numFmtId="0" fontId="0" fillId="0" borderId="6" xfId="14" applyFont="1" applyAlignment="1">
      <alignment wrapText="1"/>
    </xf>
    <xf numFmtId="0" fontId="1" fillId="2" borderId="0" xfId="19" applyFont="1">
      <alignment horizontal="left" vertical="top" indent="1"/>
    </xf>
    <xf numFmtId="0" fontId="1" fillId="2" borderId="7" xfId="19" applyFont="1" applyBorder="1">
      <alignment horizontal="left" vertical="top" indent="1"/>
    </xf>
    <xf numFmtId="20" fontId="13" fillId="2" borderId="0" xfId="21">
      <alignment horizontal="left" indent="1"/>
    </xf>
    <xf numFmtId="0" fontId="0" fillId="0" borderId="6" xfId="0" applyBorder="1" applyAlignment="1">
      <alignment wrapText="1"/>
    </xf>
    <xf numFmtId="0" fontId="0" fillId="0" borderId="0" xfId="0" applyBorder="1" applyAlignment="1">
      <alignment wrapText="1"/>
    </xf>
    <xf numFmtId="0" fontId="16" fillId="0" borderId="0" xfId="0" applyFont="1">
      <alignment wrapText="1"/>
    </xf>
    <xf numFmtId="0" fontId="17" fillId="0" borderId="0" xfId="1" applyFont="1">
      <alignment horizontal="center" vertical="center"/>
    </xf>
    <xf numFmtId="0" fontId="1" fillId="0" borderId="0" xfId="0" applyFont="1">
      <alignment wrapText="1"/>
    </xf>
    <xf numFmtId="0" fontId="1" fillId="0" borderId="0" xfId="20" applyFont="1">
      <alignment wrapText="1"/>
    </xf>
    <xf numFmtId="0" fontId="18" fillId="0" borderId="0" xfId="3" applyFont="1">
      <alignment horizontal="left" vertical="center" indent="2"/>
    </xf>
    <xf numFmtId="169" fontId="19" fillId="0" borderId="6" xfId="2" applyFont="1" applyBorder="1">
      <alignment horizontal="center" vertical="center"/>
    </xf>
    <xf numFmtId="1" fontId="11" fillId="0" borderId="0" xfId="15">
      <alignment horizontal="center"/>
    </xf>
    <xf numFmtId="0" fontId="0" fillId="0" borderId="0" xfId="0" applyFont="1" applyAlignment="1">
      <alignment wrapText="1"/>
    </xf>
    <xf numFmtId="0" fontId="6" fillId="4" borderId="8" xfId="12" applyBorder="1">
      <alignment horizontal="left" indent="1"/>
    </xf>
    <xf numFmtId="0" fontId="6" fillId="4" borderId="2" xfId="12" applyBorder="1">
      <alignment horizontal="left" indent="1"/>
    </xf>
    <xf numFmtId="20" fontId="13" fillId="2" borderId="10" xfId="21" applyNumberFormat="1" applyBorder="1">
      <alignment horizontal="left" indent="1"/>
    </xf>
    <xf numFmtId="0" fontId="1" fillId="2" borderId="0" xfId="19" applyFont="1">
      <alignment horizontal="left" vertical="top" indent="1"/>
    </xf>
    <xf numFmtId="20" fontId="13" fillId="2" borderId="3" xfId="21" applyNumberFormat="1" applyBorder="1">
      <alignment horizontal="left" indent="1"/>
    </xf>
    <xf numFmtId="0" fontId="1" fillId="2" borderId="7" xfId="19" applyFont="1" applyBorder="1">
      <alignment horizontal="left" vertical="top" indent="1"/>
    </xf>
    <xf numFmtId="20" fontId="13" fillId="2" borderId="0" xfId="21" applyNumberFormat="1">
      <alignment horizontal="left" indent="1"/>
    </xf>
    <xf numFmtId="0" fontId="13" fillId="2" borderId="7" xfId="19" applyBorder="1">
      <alignment horizontal="left" vertical="top" indent="1"/>
    </xf>
    <xf numFmtId="20" fontId="13" fillId="2" borderId="0" xfId="21">
      <alignment horizontal="left" indent="1"/>
    </xf>
    <xf numFmtId="20" fontId="13" fillId="2" borderId="10" xfId="21" applyBorder="1">
      <alignment horizontal="left" indent="1"/>
    </xf>
    <xf numFmtId="0" fontId="0" fillId="2" borderId="0" xfId="19" applyFont="1">
      <alignment horizontal="left" vertical="top" indent="1"/>
    </xf>
    <xf numFmtId="20" fontId="1" fillId="2" borderId="0" xfId="19" applyNumberFormat="1" applyFont="1">
      <alignment horizontal="left" vertical="top" indent="1"/>
    </xf>
  </cellXfs>
  <cellStyles count="22">
    <cellStyle name="Alineación del calendario" xfId="18" xr:uid="{00000000-0005-0000-0000-000000000000}"/>
    <cellStyle name="Borde derecho" xfId="17" xr:uid="{00000000-0005-0000-0000-000001000000}"/>
    <cellStyle name="Borde inferior" xfId="16" xr:uid="{00000000-0005-0000-0000-000002000000}"/>
    <cellStyle name="Borde superior" xfId="14" xr:uid="{00000000-0005-0000-0000-000003000000}"/>
    <cellStyle name="Días de la semana" xfId="12" xr:uid="{00000000-0005-0000-0000-000004000000}"/>
    <cellStyle name="Encabezado 1" xfId="2" builtinId="16" customBuiltin="1"/>
    <cellStyle name="Encabezado 4" xfId="5" builtinId="19" customBuiltin="1"/>
    <cellStyle name="Encabezado de la tabla en blanco" xfId="20" xr:uid="{00000000-0005-0000-0000-000007000000}"/>
    <cellStyle name="Etiqueta" xfId="13" xr:uid="{00000000-0005-0000-0000-000008000000}"/>
    <cellStyle name="Fecha" xfId="15" xr:uid="{00000000-0005-0000-0000-000009000000}"/>
    <cellStyle name="Hora" xfId="21" xr:uid="{00000000-0005-0000-0000-00000A000000}"/>
    <cellStyle name="Millares" xfId="6" builtinId="3" customBuiltin="1"/>
    <cellStyle name="Millares [0]" xfId="7" builtinId="6" customBuiltin="1"/>
    <cellStyle name="Moneda" xfId="8" builtinId="4" customBuiltin="1"/>
    <cellStyle name="Moneda [0]" xfId="9" builtinId="7" customBuiltin="1"/>
    <cellStyle name="Normal" xfId="0" builtinId="0" customBuiltin="1"/>
    <cellStyle name="Notas" xfId="11" builtinId="10" customBuiltin="1"/>
    <cellStyle name="Porcentaje" xfId="10" builtinId="5" customBuiltin="1"/>
    <cellStyle name="Relleno de programación semanal" xfId="19" xr:uid="{00000000-0005-0000-0000-000012000000}"/>
    <cellStyle name="Título" xfId="1" builtinId="15" customBuiltin="1"/>
    <cellStyle name="Título 2" xfId="3" builtinId="17" customBuiltin="1"/>
    <cellStyle name="Título 3" xfId="4" builtinId="18" customBuiltin="1"/>
  </cellStyles>
  <dxfs count="106">
    <dxf>
      <border>
        <left style="thin">
          <color theme="0"/>
        </left>
        <vertical/>
        <horizontal/>
      </border>
    </dxf>
    <dxf>
      <border>
        <bottom style="thin">
          <color theme="0"/>
        </bottom>
        <vertical/>
        <horizontal/>
      </border>
    </dxf>
    <dxf>
      <font>
        <b/>
        <i val="0"/>
      </font>
      <fill>
        <patternFill>
          <bgColor theme="4" tint="0.79998168889431442"/>
        </patternFill>
      </fill>
    </dxf>
    <dxf>
      <fill>
        <patternFill>
          <bgColor theme="4" tint="0.79998168889431442"/>
        </patternFill>
      </fill>
    </dxf>
    <dxf>
      <font>
        <b/>
        <i val="0"/>
        <color theme="1"/>
      </font>
      <fill>
        <patternFill patternType="solid">
          <bgColor theme="4" tint="0.79998168889431442"/>
        </patternFill>
      </fill>
      <border>
        <left/>
        <right/>
        <top/>
        <bottom/>
        <vertical/>
        <horizontal/>
      </border>
    </dxf>
    <dxf>
      <font>
        <color theme="0" tint="-0.24994659260841701"/>
      </font>
    </dxf>
    <dxf>
      <font>
        <color theme="0" tint="-0.24994659260841701"/>
      </font>
    </dxf>
    <dxf>
      <border>
        <left style="thin">
          <color theme="0"/>
        </left>
        <vertical/>
        <horizontal/>
      </border>
    </dxf>
    <dxf>
      <border>
        <bottom style="thin">
          <color theme="0"/>
        </bottom>
        <vertical/>
        <horizontal/>
      </border>
    </dxf>
    <dxf>
      <font>
        <b/>
        <i val="0"/>
      </font>
      <fill>
        <patternFill>
          <bgColor theme="4" tint="0.79998168889431442"/>
        </patternFill>
      </fill>
    </dxf>
    <dxf>
      <fill>
        <patternFill>
          <bgColor theme="4" tint="0.79998168889431442"/>
        </patternFill>
      </fill>
    </dxf>
    <dxf>
      <font>
        <b/>
        <i val="0"/>
        <color theme="1"/>
      </font>
      <fill>
        <patternFill patternType="solid">
          <bgColor theme="4" tint="0.79998168889431442"/>
        </patternFill>
      </fill>
      <border>
        <left/>
        <right/>
        <top/>
        <bottom/>
        <vertical/>
        <horizontal/>
      </border>
    </dxf>
    <dxf>
      <font>
        <color theme="0" tint="-0.24994659260841701"/>
      </font>
    </dxf>
    <dxf>
      <font>
        <color theme="0" tint="-0.24994659260841701"/>
      </font>
    </dxf>
    <dxf>
      <border>
        <left style="thin">
          <color theme="0"/>
        </left>
        <vertical/>
        <horizontal/>
      </border>
    </dxf>
    <dxf>
      <border>
        <left style="thin">
          <color theme="0"/>
        </left>
        <vertical/>
        <horizontal/>
      </border>
    </dxf>
    <dxf>
      <border>
        <left style="thin">
          <color theme="0"/>
        </left>
        <bottom style="thin">
          <color theme="0"/>
        </bottom>
        <vertical/>
        <horizontal/>
      </border>
    </dxf>
    <dxf>
      <border>
        <bottom style="thin">
          <color theme="0"/>
        </bottom>
        <vertical/>
        <horizontal/>
      </border>
    </dxf>
    <dxf>
      <font>
        <b/>
        <i val="0"/>
      </font>
      <fill>
        <patternFill>
          <bgColor theme="4" tint="0.79998168889431442"/>
        </patternFill>
      </fill>
    </dxf>
    <dxf>
      <fill>
        <patternFill>
          <bgColor theme="4" tint="0.79998168889431442"/>
        </patternFill>
      </fill>
    </dxf>
    <dxf>
      <font>
        <b/>
        <i val="0"/>
        <color theme="1"/>
      </font>
      <fill>
        <patternFill patternType="solid">
          <bgColor theme="4" tint="0.79998168889431442"/>
        </patternFill>
      </fill>
      <border>
        <left/>
        <right/>
        <top/>
        <bottom/>
        <vertical/>
        <horizontal/>
      </border>
    </dxf>
    <dxf>
      <font>
        <color theme="0" tint="-0.24994659260841701"/>
      </font>
    </dxf>
    <dxf>
      <font>
        <color theme="0" tint="-0.24994659260841701"/>
      </font>
    </dxf>
    <dxf>
      <border>
        <left style="thin">
          <color theme="0"/>
        </left>
        <vertical/>
        <horizontal/>
      </border>
    </dxf>
    <dxf>
      <border>
        <bottom style="thin">
          <color theme="0"/>
        </bottom>
        <vertical/>
        <horizontal/>
      </border>
    </dxf>
    <dxf>
      <font>
        <b/>
        <i val="0"/>
      </font>
      <fill>
        <patternFill>
          <bgColor theme="4" tint="0.79998168889431442"/>
        </patternFill>
      </fill>
    </dxf>
    <dxf>
      <fill>
        <patternFill>
          <bgColor theme="4" tint="0.79998168889431442"/>
        </patternFill>
      </fill>
    </dxf>
    <dxf>
      <font>
        <b/>
        <i val="0"/>
        <color theme="1"/>
      </font>
      <fill>
        <patternFill patternType="solid">
          <bgColor theme="4" tint="0.79998168889431442"/>
        </patternFill>
      </fill>
      <border>
        <left/>
        <right/>
        <top/>
        <bottom/>
        <vertical/>
        <horizontal/>
      </border>
    </dxf>
    <dxf>
      <font>
        <color theme="0" tint="-0.24994659260841701"/>
      </font>
    </dxf>
    <dxf>
      <font>
        <color theme="0" tint="-0.24994659260841701"/>
      </font>
    </dxf>
    <dxf>
      <border>
        <left style="thin">
          <color theme="0"/>
        </left>
        <vertical/>
        <horizontal/>
      </border>
    </dxf>
    <dxf>
      <border>
        <bottom style="thin">
          <color theme="0"/>
        </bottom>
        <vertical/>
        <horizontal/>
      </border>
    </dxf>
    <dxf>
      <fill>
        <patternFill>
          <bgColor theme="4" tint="0.79998168889431442"/>
        </patternFill>
      </fill>
    </dxf>
    <dxf>
      <font>
        <b/>
        <i val="0"/>
      </font>
      <fill>
        <patternFill>
          <bgColor theme="4" tint="0.79998168889431442"/>
        </patternFill>
      </fill>
    </dxf>
    <dxf>
      <font>
        <b/>
        <i val="0"/>
        <color theme="1"/>
      </font>
      <fill>
        <patternFill patternType="solid">
          <bgColor theme="4" tint="0.79998168889431442"/>
        </patternFill>
      </fill>
      <border>
        <left/>
        <right/>
        <top/>
        <bottom/>
        <vertical/>
        <horizontal/>
      </border>
    </dxf>
    <dxf>
      <font>
        <color theme="0" tint="-0.24994659260841701"/>
      </font>
    </dxf>
    <dxf>
      <font>
        <color theme="0" tint="-0.24994659260841701"/>
      </font>
    </dxf>
    <dxf>
      <border>
        <left style="thin">
          <color theme="0"/>
        </left>
        <vertical/>
        <horizontal/>
      </border>
    </dxf>
    <dxf>
      <border>
        <bottom style="thin">
          <color theme="0"/>
        </bottom>
        <vertical/>
        <horizontal/>
      </border>
    </dxf>
    <dxf>
      <font>
        <b/>
        <i val="0"/>
      </font>
      <fill>
        <patternFill>
          <bgColor theme="4" tint="0.79998168889431442"/>
        </patternFill>
      </fill>
    </dxf>
    <dxf>
      <fill>
        <patternFill>
          <bgColor theme="4" tint="0.79998168889431442"/>
        </patternFill>
      </fill>
    </dxf>
    <dxf>
      <font>
        <b/>
        <i val="0"/>
        <color theme="1"/>
      </font>
      <fill>
        <patternFill patternType="solid">
          <bgColor theme="4" tint="0.79998168889431442"/>
        </patternFill>
      </fill>
      <border>
        <left/>
        <right/>
        <top/>
        <bottom/>
        <vertical/>
        <horizontal/>
      </border>
    </dxf>
    <dxf>
      <font>
        <color theme="0" tint="-0.24994659260841701"/>
      </font>
    </dxf>
    <dxf>
      <font>
        <color theme="0" tint="-0.24994659260841701"/>
      </font>
    </dxf>
    <dxf>
      <border>
        <left style="thin">
          <color theme="0"/>
        </left>
        <vertical/>
        <horizontal/>
      </border>
    </dxf>
    <dxf>
      <border>
        <bottom style="thin">
          <color theme="0"/>
        </bottom>
        <vertical/>
        <horizontal/>
      </border>
    </dxf>
    <dxf>
      <font>
        <b/>
        <i val="0"/>
      </font>
      <fill>
        <patternFill>
          <bgColor theme="4" tint="0.79998168889431442"/>
        </patternFill>
      </fill>
    </dxf>
    <dxf>
      <fill>
        <patternFill>
          <bgColor theme="4" tint="0.79998168889431442"/>
        </patternFill>
      </fill>
    </dxf>
    <dxf>
      <font>
        <b/>
        <i val="0"/>
        <color theme="1"/>
      </font>
      <fill>
        <patternFill patternType="solid">
          <bgColor theme="4" tint="0.79998168889431442"/>
        </patternFill>
      </fill>
      <border>
        <left/>
        <right/>
        <top/>
        <bottom/>
        <vertical/>
        <horizontal/>
      </border>
    </dxf>
    <dxf>
      <font>
        <color theme="0" tint="-0.24994659260841701"/>
      </font>
    </dxf>
    <dxf>
      <font>
        <color theme="0" tint="-0.24994659260841701"/>
      </font>
    </dxf>
    <dxf>
      <border>
        <left style="thin">
          <color theme="0"/>
        </left>
        <vertical/>
        <horizontal/>
      </border>
    </dxf>
    <dxf>
      <border>
        <bottom style="thin">
          <color theme="0"/>
        </bottom>
        <vertical/>
        <horizontal/>
      </border>
    </dxf>
    <dxf>
      <font>
        <b/>
        <i val="0"/>
      </font>
      <fill>
        <patternFill>
          <bgColor theme="4" tint="0.79998168889431442"/>
        </patternFill>
      </fill>
    </dxf>
    <dxf>
      <fill>
        <patternFill>
          <bgColor theme="4" tint="0.79998168889431442"/>
        </patternFill>
      </fill>
    </dxf>
    <dxf>
      <font>
        <b/>
        <i val="0"/>
        <color theme="1"/>
      </font>
      <fill>
        <patternFill patternType="solid">
          <bgColor theme="4" tint="0.79998168889431442"/>
        </patternFill>
      </fill>
      <border>
        <left/>
        <right/>
        <top/>
        <bottom/>
        <vertical/>
        <horizontal/>
      </border>
    </dxf>
    <dxf>
      <font>
        <color theme="0" tint="-0.24994659260841701"/>
      </font>
    </dxf>
    <dxf>
      <font>
        <color theme="0" tint="-0.24994659260841701"/>
      </font>
    </dxf>
    <dxf>
      <border>
        <left style="thin">
          <color theme="0"/>
        </left>
        <vertical/>
        <horizontal/>
      </border>
    </dxf>
    <dxf>
      <border>
        <bottom style="thin">
          <color theme="0"/>
        </bottom>
        <vertical/>
        <horizontal/>
      </border>
    </dxf>
    <dxf>
      <font>
        <b/>
        <i val="0"/>
      </font>
      <fill>
        <patternFill>
          <bgColor theme="4" tint="0.79998168889431442"/>
        </patternFill>
      </fill>
    </dxf>
    <dxf>
      <fill>
        <patternFill>
          <bgColor theme="4" tint="0.79998168889431442"/>
        </patternFill>
      </fill>
    </dxf>
    <dxf>
      <font>
        <b/>
        <i val="0"/>
        <color theme="1"/>
      </font>
      <fill>
        <patternFill patternType="solid">
          <bgColor theme="4" tint="0.79998168889431442"/>
        </patternFill>
      </fill>
      <border>
        <left/>
        <right/>
        <top/>
        <bottom/>
        <vertical/>
        <horizontal/>
      </border>
    </dxf>
    <dxf>
      <font>
        <color theme="0" tint="-0.24994659260841701"/>
      </font>
    </dxf>
    <dxf>
      <font>
        <color theme="0" tint="-0.24994659260841701"/>
      </font>
    </dxf>
    <dxf>
      <border>
        <left style="thin">
          <color theme="0"/>
        </left>
        <vertical/>
        <horizontal/>
      </border>
    </dxf>
    <dxf>
      <border>
        <bottom style="thin">
          <color theme="0"/>
        </bottom>
        <vertical/>
        <horizontal/>
      </border>
    </dxf>
    <dxf>
      <font>
        <b/>
        <i val="0"/>
      </font>
      <fill>
        <patternFill>
          <bgColor theme="4" tint="0.79998168889431442"/>
        </patternFill>
      </fill>
    </dxf>
    <dxf>
      <fill>
        <patternFill>
          <bgColor theme="4" tint="0.79998168889431442"/>
        </patternFill>
      </fill>
    </dxf>
    <dxf>
      <font>
        <b/>
        <i val="0"/>
        <color theme="1"/>
      </font>
      <fill>
        <patternFill patternType="solid">
          <bgColor theme="4" tint="0.79998168889431442"/>
        </patternFill>
      </fill>
      <border>
        <left/>
        <right/>
        <top/>
        <bottom/>
        <vertical/>
        <horizontal/>
      </border>
    </dxf>
    <dxf>
      <font>
        <color theme="0" tint="-0.24994659260841701"/>
      </font>
    </dxf>
    <dxf>
      <font>
        <color theme="0" tint="-0.24994659260841701"/>
      </font>
    </dxf>
    <dxf>
      <border>
        <left style="thin">
          <color theme="0"/>
        </left>
        <vertical/>
        <horizontal/>
      </border>
    </dxf>
    <dxf>
      <border>
        <bottom style="thin">
          <color theme="0"/>
        </bottom>
        <vertical/>
        <horizontal/>
      </border>
    </dxf>
    <dxf>
      <font>
        <b/>
        <i val="0"/>
      </font>
      <fill>
        <patternFill>
          <bgColor theme="4" tint="0.79998168889431442"/>
        </patternFill>
      </fill>
    </dxf>
    <dxf>
      <fill>
        <patternFill>
          <bgColor theme="4" tint="0.79998168889431442"/>
        </patternFill>
      </fill>
    </dxf>
    <dxf>
      <font>
        <b/>
        <i val="0"/>
        <color theme="1"/>
      </font>
      <fill>
        <patternFill patternType="solid">
          <bgColor theme="4" tint="0.79998168889431442"/>
        </patternFill>
      </fill>
      <border>
        <left/>
        <right/>
        <top/>
        <bottom/>
        <vertical/>
        <horizontal/>
      </border>
    </dxf>
    <dxf>
      <font>
        <color theme="0" tint="-0.24994659260841701"/>
      </font>
    </dxf>
    <dxf>
      <font>
        <color theme="0" tint="-0.24994659260841701"/>
      </font>
    </dxf>
    <dxf>
      <border>
        <left style="thin">
          <color theme="0"/>
        </left>
        <vertical/>
        <horizontal/>
      </border>
    </dxf>
    <dxf>
      <border>
        <bottom style="thin">
          <color theme="0"/>
        </bottom>
        <vertical/>
        <horizontal/>
      </border>
    </dxf>
    <dxf>
      <font>
        <b val="0"/>
        <i val="0"/>
      </font>
      <fill>
        <patternFill>
          <bgColor theme="4" tint="0.79998168889431442"/>
        </patternFill>
      </fill>
      <border>
        <vertical/>
        <horizontal/>
      </border>
    </dxf>
    <dxf>
      <font>
        <b/>
        <i val="0"/>
      </font>
      <fill>
        <patternFill>
          <bgColor theme="4" tint="0.79998168889431442"/>
        </patternFill>
      </fill>
    </dxf>
    <dxf>
      <font>
        <b/>
        <i val="0"/>
        <color theme="1"/>
      </font>
      <fill>
        <patternFill patternType="solid">
          <bgColor theme="4" tint="0.79998168889431442"/>
        </patternFill>
      </fill>
      <border>
        <left/>
        <right/>
        <top/>
        <bottom/>
        <vertical/>
        <horizontal/>
      </border>
    </dxf>
    <dxf>
      <font>
        <color theme="0" tint="-0.24994659260841701"/>
      </font>
    </dxf>
    <dxf>
      <font>
        <color theme="0" tint="-0.24994659260841701"/>
      </font>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strike val="0"/>
        <outline val="0"/>
        <shadow val="0"/>
        <u val="none"/>
        <vertAlign val="baseline"/>
        <color theme="1"/>
        <name val="Arial"/>
        <family val="2"/>
      </font>
    </dxf>
    <dxf>
      <alignment horizontal="general" vertical="bottom" textRotation="0" indent="0" justifyLastLine="0" shrinkToFit="0" readingOrder="0"/>
    </dxf>
    <dxf>
      <font>
        <strike val="0"/>
        <outline val="0"/>
        <shadow val="0"/>
        <u val="none"/>
        <vertAlign val="baseline"/>
        <color theme="1"/>
        <name val="Arial"/>
        <family val="2"/>
      </font>
    </dxf>
    <dxf>
      <alignment horizontal="general" vertical="bottom" textRotation="0" wrapText="1" indent="0" justifyLastLine="0" shrinkToFit="0" readingOrder="0"/>
    </dxf>
    <dxf>
      <font>
        <strike val="0"/>
        <outline val="0"/>
        <shadow val="0"/>
        <u val="none"/>
        <vertAlign val="baseline"/>
        <color theme="1"/>
        <name val="Arial"/>
        <family val="2"/>
      </font>
    </dxf>
    <dxf>
      <alignment horizontal="general" vertical="bottom" textRotation="0" wrapText="1" indent="0" justifyLastLine="0" shrinkToFit="0" readingOrder="0"/>
    </dxf>
    <dxf>
      <font>
        <strike val="0"/>
        <outline val="0"/>
        <shadow val="0"/>
        <u val="none"/>
        <vertAlign val="baseline"/>
        <color theme="1"/>
        <name val="Arial"/>
        <family val="2"/>
      </font>
    </dxf>
    <dxf>
      <alignment horizontal="general" vertical="bottom" textRotation="0" wrapText="1" indent="0" justifyLastLine="0" shrinkToFit="0" readingOrder="0"/>
    </dxf>
    <dxf>
      <font>
        <strike val="0"/>
        <outline val="0"/>
        <shadow val="0"/>
        <u val="none"/>
        <vertAlign val="baseline"/>
        <color theme="1"/>
        <name val="Arial"/>
        <family val="2"/>
      </font>
    </dxf>
    <dxf>
      <alignment horizontal="general" vertical="bottom" textRotation="0" wrapText="1" indent="0" justifyLastLine="0" shrinkToFit="0" readingOrder="0"/>
    </dxf>
    <dxf>
      <alignment horizontal="general" vertical="bottom" textRotation="0" wrapText="1" indent="0" justifyLastLine="0" shrinkToFit="0" readingOrder="0"/>
    </dxf>
    <dxf>
      <font>
        <b/>
        <i val="0"/>
        <color theme="4" tint="-0.499984740745262"/>
      </font>
      <border diagonalUp="0" diagonalDown="0">
        <left style="thin">
          <color theme="4" tint="-0.499984740745262"/>
        </left>
        <right/>
        <top/>
        <bottom style="thin">
          <color theme="4" tint="-0.499984740745262"/>
        </bottom>
        <vertical/>
        <horizontal/>
      </border>
    </dxf>
    <dxf>
      <font>
        <b/>
        <i val="0"/>
        <color theme="4" tint="-0.499984740745262"/>
      </font>
      <border diagonalUp="0" diagonalDown="0">
        <left/>
        <right/>
        <top/>
        <bottom style="thin">
          <color theme="4" tint="-0.499984740745262"/>
        </bottom>
        <vertical/>
        <horizontal/>
      </border>
    </dxf>
    <dxf>
      <border>
        <left style="thin">
          <color theme="4" tint="-0.499984740745262"/>
        </left>
        <right style="thin">
          <color theme="4" tint="-0.499984740745262"/>
        </right>
        <top style="thin">
          <color theme="4" tint="-0.499984740745262"/>
        </top>
        <bottom style="thin">
          <color theme="4" tint="-0.499984740745262"/>
        </bottom>
        <horizontal style="thin">
          <color theme="5" tint="-0.499984740745262"/>
        </horizontal>
      </border>
    </dxf>
  </dxfs>
  <tableStyles count="1" defaultTableStyle="Tareas" defaultPivotStyle="PivotStyleLight16">
    <tableStyle name="Tareas" pivot="0" count="3" xr9:uid="{00000000-0011-0000-FFFF-FFFF00000000}">
      <tableStyleElement type="wholeTable" dxfId="105"/>
      <tableStyleElement type="headerRow" dxfId="104"/>
      <tableStyleElement type="firstColumn" dxfId="10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EneroTareas" displayName="EneroTareas" ref="J1:L31" totalsRowShown="0">
  <autoFilter ref="J1:L31" xr:uid="{00000000-0009-0000-0100-000001000000}">
    <filterColumn colId="0" hiddenButton="1"/>
    <filterColumn colId="1" hiddenButton="1"/>
    <filterColumn colId="2" hiddenButton="1"/>
  </autoFilter>
  <tableColumns count="3">
    <tableColumn id="1" xr3:uid="{00000000-0010-0000-0000-000001000000}" name="Día de la semana" dataCellStyle="Encabezado 4"/>
    <tableColumn id="2" xr3:uid="{00000000-0010-0000-0000-000002000000}" name="día de calendario" dataCellStyle="Fecha"/>
    <tableColumn id="3" xr3:uid="{00000000-0010-0000-0000-000003000000}" name="TAREAS" dataDxfId="102"/>
  </tableColumns>
  <tableStyleInfo name="Tareas" showFirstColumn="1" showLastColumn="0" showRowStripes="1" showColumnStripes="0"/>
  <extLst>
    <ext xmlns:x14="http://schemas.microsoft.com/office/spreadsheetml/2009/9/main" uri="{504A1905-F514-4f6f-8877-14C23A59335A}">
      <x14:table altTextSummary="Escriba un día y una tarea para el día de la semana en la columna J. Las tareas aparecerán resaltadas en el calendario para este mes en esta hoja de cálculo."/>
    </ext>
  </extLst>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9000000}" name="OctubreTareas" displayName="OctubreTareas" ref="J1:L31" totalsRowShown="0">
  <autoFilter ref="J1:L31" xr:uid="{00000000-0009-0000-0100-00000A000000}">
    <filterColumn colId="0" hiddenButton="1"/>
    <filterColumn colId="1" hiddenButton="1"/>
    <filterColumn colId="2" hiddenButton="1"/>
  </autoFilter>
  <tableColumns count="3">
    <tableColumn id="1" xr3:uid="{00000000-0010-0000-0900-000001000000}" name="Día de la semana" dataCellStyle="Encabezado 4"/>
    <tableColumn id="2" xr3:uid="{00000000-0010-0000-0900-000002000000}" name="día de calendario" dataCellStyle="Fecha"/>
    <tableColumn id="3" xr3:uid="{00000000-0010-0000-0900-000003000000}" name="TAREAS" dataDxfId="88"/>
  </tableColumns>
  <tableStyleInfo name="Tareas" showFirstColumn="1" showLastColumn="0" showRowStripes="1" showColumnStripes="0"/>
  <extLst>
    <ext xmlns:x14="http://schemas.microsoft.com/office/spreadsheetml/2009/9/main" uri="{504A1905-F514-4f6f-8877-14C23A59335A}">
      <x14:table altTextSummary="Escriba un día y una tarea para el día de la semana en la columna J. Las tareas aparecerán resaltadas en el calendario para este mes en esta hoja de cálculo."/>
    </ext>
  </extLst>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A000000}" name="NoviembreTareas" displayName="NoviembreTareas" ref="J1:L31" totalsRowShown="0">
  <autoFilter ref="J1:L31" xr:uid="{00000000-0009-0000-0100-00000B000000}">
    <filterColumn colId="0" hiddenButton="1"/>
    <filterColumn colId="1" hiddenButton="1"/>
    <filterColumn colId="2" hiddenButton="1"/>
  </autoFilter>
  <tableColumns count="3">
    <tableColumn id="1" xr3:uid="{00000000-0010-0000-0A00-000001000000}" name="Día de la semana" dataCellStyle="Encabezado 4"/>
    <tableColumn id="2" xr3:uid="{00000000-0010-0000-0A00-000002000000}" name="día de calendario" dataCellStyle="Fecha"/>
    <tableColumn id="3" xr3:uid="{00000000-0010-0000-0A00-000003000000}" name="TAREAS" dataDxfId="87"/>
  </tableColumns>
  <tableStyleInfo name="Tareas" showFirstColumn="1" showLastColumn="0" showRowStripes="1" showColumnStripes="0"/>
  <extLst>
    <ext xmlns:x14="http://schemas.microsoft.com/office/spreadsheetml/2009/9/main" uri="{504A1905-F514-4f6f-8877-14C23A59335A}">
      <x14:table altTextSummary="Escriba un día y una tarea para el día de la semana en la columna J. Las tareas aparecerán resaltadas en el calendario para este mes en esta hoja de cálculo."/>
    </ext>
  </extLst>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B000000}" name="DiciembreTareas" displayName="DiciembreTareas" ref="J1:L31" totalsRowShown="0" dataCellStyle="Normal">
  <autoFilter ref="J1:L31" xr:uid="{00000000-0009-0000-0100-00000C000000}">
    <filterColumn colId="0" hiddenButton="1"/>
    <filterColumn colId="1" hiddenButton="1"/>
    <filterColumn colId="2" hiddenButton="1"/>
  </autoFilter>
  <tableColumns count="3">
    <tableColumn id="1" xr3:uid="{00000000-0010-0000-0B00-000001000000}" name="Día de la semana" dataCellStyle="Encabezado 4"/>
    <tableColumn id="2" xr3:uid="{00000000-0010-0000-0B00-000002000000}" name="día de calendario" dataCellStyle="Fecha"/>
    <tableColumn id="3" xr3:uid="{00000000-0010-0000-0B00-000003000000}" name="TAREAS" dataDxfId="86" dataCellStyle="Normal"/>
  </tableColumns>
  <tableStyleInfo name="Tareas" showFirstColumn="1" showLastColumn="0" showRowStripes="1" showColumnStripes="0"/>
  <extLst>
    <ext xmlns:x14="http://schemas.microsoft.com/office/spreadsheetml/2009/9/main" uri="{504A1905-F514-4f6f-8877-14C23A59335A}">
      <x14:table altTextSummary="Escriba un día y una tarea para el día de la semana en la columna J. Las tareas aparecerán resaltadas en el calendario para este mes en esta hoja de cálculo."/>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FebreroTareas" displayName="FebreroTareas" ref="J1:L31" totalsRowShown="0">
  <autoFilter ref="J1:L31" xr:uid="{00000000-0009-0000-0100-000002000000}">
    <filterColumn colId="0" hiddenButton="1"/>
    <filterColumn colId="1" hiddenButton="1"/>
    <filterColumn colId="2" hiddenButton="1"/>
  </autoFilter>
  <tableColumns count="3">
    <tableColumn id="1" xr3:uid="{00000000-0010-0000-0100-000001000000}" name="Día de la semana" dataCellStyle="Encabezado 4"/>
    <tableColumn id="2" xr3:uid="{00000000-0010-0000-0100-000002000000}" name="día de calendario" dataCellStyle="Fecha"/>
    <tableColumn id="3" xr3:uid="{00000000-0010-0000-0100-000003000000}" name="TAREAS" dataDxfId="101" dataCellStyle="Normal"/>
  </tableColumns>
  <tableStyleInfo name="Tareas" showFirstColumn="1" showLastColumn="0" showRowStripes="1" showColumnStripes="0"/>
  <extLst>
    <ext xmlns:x14="http://schemas.microsoft.com/office/spreadsheetml/2009/9/main" uri="{504A1905-F514-4f6f-8877-14C23A59335A}">
      <x14:table altTextSummary="Escriba un día y una tarea para el día de la semana en la columna J. Las tareas aparecerán resaltadas en el calendario para este mes en esta hoja de cálculo."/>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MarzoTareas" displayName="MarzoTareas" ref="J1:L31" totalsRowShown="0" headerRowDxfId="100">
  <autoFilter ref="J1:L31" xr:uid="{00000000-0009-0000-0100-000003000000}">
    <filterColumn colId="0" hiddenButton="1"/>
    <filterColumn colId="1" hiddenButton="1"/>
    <filterColumn colId="2" hiddenButton="1"/>
  </autoFilter>
  <tableColumns count="3">
    <tableColumn id="1" xr3:uid="{00000000-0010-0000-0200-000001000000}" name="Día de la semana" dataCellStyle="Encabezado 4"/>
    <tableColumn id="2" xr3:uid="{00000000-0010-0000-0200-000002000000}" name="día de calendario" dataCellStyle="Fecha"/>
    <tableColumn id="3" xr3:uid="{00000000-0010-0000-0200-000003000000}" name="TAREAS - Comentarios" dataDxfId="99"/>
  </tableColumns>
  <tableStyleInfo name="Tareas" showFirstColumn="1" showLastColumn="0" showRowStripes="1" showColumnStripes="0"/>
  <extLst>
    <ext xmlns:x14="http://schemas.microsoft.com/office/spreadsheetml/2009/9/main" uri="{504A1905-F514-4f6f-8877-14C23A59335A}">
      <x14:table altTextSummary="Escriba un día y una tarea para el día de la semana en la columna J. Las tareas aparecerán resaltadas en el calendario para este mes en esta hoja de cálculo."/>
    </ext>
  </extLst>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AbrilTareas" displayName="AbrilTareas" ref="J1:L31" totalsRowShown="0" headerRowDxfId="98">
  <autoFilter ref="J1:L31" xr:uid="{00000000-0009-0000-0100-000004000000}">
    <filterColumn colId="0" hiddenButton="1"/>
    <filterColumn colId="1" hiddenButton="1"/>
    <filterColumn colId="2" hiddenButton="1"/>
  </autoFilter>
  <tableColumns count="3">
    <tableColumn id="1" xr3:uid="{00000000-0010-0000-0300-000001000000}" name="Día de la semana" dataCellStyle="Encabezado 4"/>
    <tableColumn id="2" xr3:uid="{00000000-0010-0000-0300-000002000000}" name="día de calendario" dataCellStyle="Fecha"/>
    <tableColumn id="3" xr3:uid="{00000000-0010-0000-0300-000003000000}" name="TAREAS - Comentarios" dataDxfId="97"/>
  </tableColumns>
  <tableStyleInfo name="Tareas" showFirstColumn="1" showLastColumn="0" showRowStripes="1" showColumnStripes="0"/>
  <extLst>
    <ext xmlns:x14="http://schemas.microsoft.com/office/spreadsheetml/2009/9/main" uri="{504A1905-F514-4f6f-8877-14C23A59335A}">
      <x14:table altTextSummary="Escriba un día y una tarea para el día de la semana en la columna J. Las tareas aparecerán resaltadas en el calendario para este mes en esta hoja de cálculo."/>
    </ext>
  </extLst>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MayoTareas" displayName="MayoTareas" ref="J1:L31" totalsRowShown="0" headerRowDxfId="96">
  <autoFilter ref="J1:L31" xr:uid="{00000000-0009-0000-0100-000005000000}">
    <filterColumn colId="0" hiddenButton="1"/>
    <filterColumn colId="1" hiddenButton="1"/>
    <filterColumn colId="2" hiddenButton="1"/>
  </autoFilter>
  <tableColumns count="3">
    <tableColumn id="1" xr3:uid="{00000000-0010-0000-0400-000001000000}" name="Día de la semana" dataCellStyle="Encabezado 4"/>
    <tableColumn id="2" xr3:uid="{00000000-0010-0000-0400-000002000000}" name="día de calendario" dataCellStyle="Fecha"/>
    <tableColumn id="3" xr3:uid="{00000000-0010-0000-0400-000003000000}" name="TAREAS - Comentarios" dataDxfId="95"/>
  </tableColumns>
  <tableStyleInfo name="Tareas" showFirstColumn="1" showLastColumn="0" showRowStripes="1" showColumnStripes="0"/>
  <extLst>
    <ext xmlns:x14="http://schemas.microsoft.com/office/spreadsheetml/2009/9/main" uri="{504A1905-F514-4f6f-8877-14C23A59335A}">
      <x14:table altTextSummary="Escriba un día y una tarea para el día de la semana en la columna J. Las tareas aparecerán resaltadas en el calendario para este mes en esta hoja de cálculo."/>
    </ext>
  </extLst>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JunioTareas" displayName="JunioTareas" ref="J1:L31" totalsRowShown="0" headerRowDxfId="94">
  <autoFilter ref="J1:L31" xr:uid="{00000000-0009-0000-0100-000006000000}">
    <filterColumn colId="0" hiddenButton="1"/>
    <filterColumn colId="1" hiddenButton="1"/>
    <filterColumn colId="2" hiddenButton="1"/>
  </autoFilter>
  <tableColumns count="3">
    <tableColumn id="1" xr3:uid="{00000000-0010-0000-0500-000001000000}" name="Día de la semana" dataCellStyle="Encabezado 4"/>
    <tableColumn id="2" xr3:uid="{00000000-0010-0000-0500-000002000000}" name="día de calendario" dataCellStyle="Fecha"/>
    <tableColumn id="3" xr3:uid="{00000000-0010-0000-0500-000003000000}" name="TAREAS - Comentarios" dataDxfId="93"/>
  </tableColumns>
  <tableStyleInfo name="Tareas" showFirstColumn="1" showLastColumn="0" showRowStripes="1" showColumnStripes="0"/>
  <extLst>
    <ext xmlns:x14="http://schemas.microsoft.com/office/spreadsheetml/2009/9/main" uri="{504A1905-F514-4f6f-8877-14C23A59335A}">
      <x14:table altTextSummary="Escriba un día y una tarea para el día de la semana en la columna J. Las tareas aparecerán resaltadas en el calendario para este mes en esta hoja de cálculo."/>
    </ext>
  </extLst>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6000000}" name="JulioTareas" displayName="JulioTareas" ref="J1:L31" totalsRowShown="0" headerRowDxfId="92">
  <autoFilter ref="J1:L31" xr:uid="{00000000-0009-0000-0100-000007000000}">
    <filterColumn colId="0" hiddenButton="1"/>
    <filterColumn colId="1" hiddenButton="1"/>
    <filterColumn colId="2" hiddenButton="1"/>
  </autoFilter>
  <tableColumns count="3">
    <tableColumn id="1" xr3:uid="{00000000-0010-0000-0600-000001000000}" name="Día de la semana" dataCellStyle="Encabezado 4"/>
    <tableColumn id="2" xr3:uid="{00000000-0010-0000-0600-000002000000}" name="día de calendario" dataCellStyle="Fecha"/>
    <tableColumn id="3" xr3:uid="{00000000-0010-0000-0600-000003000000}" name="TAREAS - Comentarios" dataDxfId="91"/>
  </tableColumns>
  <tableStyleInfo name="Tareas" showFirstColumn="1" showLastColumn="0" showRowStripes="1" showColumnStripes="0"/>
  <extLst>
    <ext xmlns:x14="http://schemas.microsoft.com/office/spreadsheetml/2009/9/main" uri="{504A1905-F514-4f6f-8877-14C23A59335A}">
      <x14:table altTextSummary="Escriba un día y una tarea para el día de la semana en la columna J. Las tareas aparecerán resaltadas en el calendario para este mes en esta hoja de cálculo."/>
    </ext>
  </extLst>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7000000}" name="AgostoTareas" displayName="AgostoTareas" ref="J1:L31" totalsRowShown="0">
  <autoFilter ref="J1:L31" xr:uid="{00000000-0009-0000-0100-000008000000}">
    <filterColumn colId="0" hiddenButton="1"/>
    <filterColumn colId="1" hiddenButton="1"/>
    <filterColumn colId="2" hiddenButton="1"/>
  </autoFilter>
  <tableColumns count="3">
    <tableColumn id="1" xr3:uid="{00000000-0010-0000-0700-000001000000}" name="Día de la semana" dataCellStyle="Encabezado 4"/>
    <tableColumn id="2" xr3:uid="{00000000-0010-0000-0700-000002000000}" name="día de calendario" dataCellStyle="Fecha"/>
    <tableColumn id="3" xr3:uid="{00000000-0010-0000-0700-000003000000}" name="TAREAS" dataDxfId="90"/>
  </tableColumns>
  <tableStyleInfo name="Tareas" showFirstColumn="1" showLastColumn="0" showRowStripes="1" showColumnStripes="0"/>
  <extLst>
    <ext xmlns:x14="http://schemas.microsoft.com/office/spreadsheetml/2009/9/main" uri="{504A1905-F514-4f6f-8877-14C23A59335A}">
      <x14:table altTextSummary="Escriba un día y una tarea para el día de la semana en la columna J. Las tareas aparecerán resaltadas en el calendario para este mes en esta hoja de cálculo."/>
    </ext>
  </extLst>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8000000}" name="SeptiembreTareas" displayName="SeptiembreTareas" ref="J1:L31" totalsRowShown="0">
  <autoFilter ref="J1:L31" xr:uid="{00000000-0009-0000-0100-000009000000}">
    <filterColumn colId="0" hiddenButton="1"/>
    <filterColumn colId="1" hiddenButton="1"/>
    <filterColumn colId="2" hiddenButton="1"/>
  </autoFilter>
  <tableColumns count="3">
    <tableColumn id="1" xr3:uid="{00000000-0010-0000-0800-000001000000}" name="Día de la semana" dataCellStyle="Encabezado 4"/>
    <tableColumn id="2" xr3:uid="{00000000-0010-0000-0800-000002000000}" name="día de calendario" dataCellStyle="Fecha"/>
    <tableColumn id="3" xr3:uid="{00000000-0010-0000-0800-000003000000}" name="TAREAS" dataDxfId="89"/>
  </tableColumns>
  <tableStyleInfo name="Tareas" showFirstColumn="1" showLastColumn="0" showRowStripes="1" showColumnStripes="0"/>
  <extLst>
    <ext xmlns:x14="http://schemas.microsoft.com/office/spreadsheetml/2009/9/main" uri="{504A1905-F514-4f6f-8877-14C23A59335A}">
      <x14:table altTextSummary="Escriba un día y una tarea para el día de la semana en la columna J. Las tareas aparecerán resaltadas en el calendario para este mes en esta hoja de cálculo."/>
    </ext>
  </extLst>
</table>
</file>

<file path=xl/theme/theme1.xml><?xml version="1.0" encoding="utf-8"?>
<a:theme xmlns:a="http://schemas.openxmlformats.org/drawingml/2006/main" name="10_college_cal">
  <a:themeElements>
    <a:clrScheme name="Assignment Calendar">
      <a:dk1>
        <a:sysClr val="windowText" lastClr="000000"/>
      </a:dk1>
      <a:lt1>
        <a:sysClr val="window" lastClr="FFFFFF"/>
      </a:lt1>
      <a:dk2>
        <a:srgbClr val="1F497D"/>
      </a:dk2>
      <a:lt2>
        <a:srgbClr val="EEECE1"/>
      </a:lt2>
      <a:accent1>
        <a:srgbClr val="39B5D4"/>
      </a:accent1>
      <a:accent2>
        <a:srgbClr val="FFCCCC"/>
      </a:accent2>
      <a:accent3>
        <a:srgbClr val="4DBB68"/>
      </a:accent3>
      <a:accent4>
        <a:srgbClr val="FFFB59"/>
      </a:accent4>
      <a:accent5>
        <a:srgbClr val="FF9900"/>
      </a:accent5>
      <a:accent6>
        <a:srgbClr val="AC75D5"/>
      </a:accent6>
      <a:hlink>
        <a:srgbClr val="57B5D4"/>
      </a:hlink>
      <a:folHlink>
        <a:srgbClr val="BA4F8B"/>
      </a:folHlink>
    </a:clrScheme>
    <a:fontScheme name="Office Classic 2">
      <a:maj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table" Target="../tables/table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4"/>
    <pageSetUpPr fitToPage="1"/>
  </sheetPr>
  <dimension ref="A1:L31"/>
  <sheetViews>
    <sheetView showGridLines="0" zoomScaleNormal="100" zoomScalePageLayoutView="84" workbookViewId="0">
      <selection activeCell="C9" sqref="C9"/>
    </sheetView>
  </sheetViews>
  <sheetFormatPr baseColWidth="10" defaultColWidth="8.625" defaultRowHeight="30" customHeight="1" x14ac:dyDescent="0.2"/>
  <cols>
    <col min="1" max="1" width="2.625" customWidth="1"/>
    <col min="2" max="2" width="20.625" customWidth="1"/>
    <col min="3" max="8" width="10.625" customWidth="1"/>
    <col min="9" max="9" width="20.625" customWidth="1"/>
    <col min="10" max="11" width="10.625" customWidth="1"/>
    <col min="12" max="12" width="70.625" customWidth="1"/>
    <col min="13" max="13" width="2.625" customWidth="1"/>
    <col min="14" max="14" width="8.625" customWidth="1"/>
  </cols>
  <sheetData>
    <row r="1" spans="1:12" ht="30" customHeight="1" x14ac:dyDescent="0.2">
      <c r="A1" s="17"/>
      <c r="B1" s="8">
        <f ca="1">YEAR(TODAY())</f>
        <v>2018</v>
      </c>
      <c r="C1" s="5" t="s">
        <v>10</v>
      </c>
      <c r="D1" s="1"/>
      <c r="E1" s="1"/>
      <c r="F1" s="1"/>
      <c r="G1" s="1"/>
      <c r="H1" s="1"/>
      <c r="I1" s="1"/>
      <c r="J1" s="19" t="s">
        <v>0</v>
      </c>
      <c r="K1" s="19" t="s">
        <v>14</v>
      </c>
      <c r="L1" s="11" t="s">
        <v>15</v>
      </c>
    </row>
    <row r="2" spans="1:12" ht="30" customHeight="1" x14ac:dyDescent="0.25">
      <c r="A2" s="13"/>
      <c r="B2" s="33" t="s">
        <v>3</v>
      </c>
      <c r="C2" s="7" t="s">
        <v>29</v>
      </c>
      <c r="D2" s="7" t="s">
        <v>30</v>
      </c>
      <c r="E2" s="7" t="s">
        <v>31</v>
      </c>
      <c r="F2" s="7" t="s">
        <v>32</v>
      </c>
      <c r="G2" s="7" t="s">
        <v>33</v>
      </c>
      <c r="H2" s="7" t="s">
        <v>34</v>
      </c>
      <c r="I2" s="7" t="s">
        <v>35</v>
      </c>
      <c r="J2" s="10" t="s">
        <v>29</v>
      </c>
      <c r="K2" s="42">
        <v>2</v>
      </c>
      <c r="L2" s="48" t="s">
        <v>16</v>
      </c>
    </row>
    <row r="3" spans="1:12" ht="30" customHeight="1" x14ac:dyDescent="0.25">
      <c r="A3" s="13"/>
      <c r="B3" s="17"/>
      <c r="C3" s="6">
        <f ca="1">IF(DAY(JanDom1)=1,JanDom1-6,JanDom1+1)</f>
        <v>43101</v>
      </c>
      <c r="D3" s="6">
        <f ca="1">IF(DAY(JanDom1)=1,JanDom1-5,JanDom1+2)</f>
        <v>43102</v>
      </c>
      <c r="E3" s="6">
        <f ca="1">IF(DAY(JanDom1)=1,JanDom1-4,JanDom1+3)</f>
        <v>43103</v>
      </c>
      <c r="F3" s="6">
        <f ca="1">IF(DAY(JanDom1)=1,JanDom1-3,JanDom1+4)</f>
        <v>43104</v>
      </c>
      <c r="G3" s="6">
        <f ca="1">IF(DAY(JanDom1)=1,JanDom1-2,JanDom1+5)</f>
        <v>43105</v>
      </c>
      <c r="H3" s="6">
        <f ca="1">IF(DAY(JanDom1)=1,JanDom1-1,JanDom1+6)</f>
        <v>43106</v>
      </c>
      <c r="I3" s="6">
        <f ca="1">IF(DAY(JanDom1)=1,JanDom1,JanDom1+7)</f>
        <v>43107</v>
      </c>
      <c r="J3" s="10"/>
      <c r="K3" s="36"/>
      <c r="L3" s="48"/>
    </row>
    <row r="4" spans="1:12" ht="30" customHeight="1" x14ac:dyDescent="0.25">
      <c r="A4" s="13"/>
      <c r="B4" s="17"/>
      <c r="C4" s="6">
        <f ca="1">IF(DAY(JanDom1)=1,JanDom1+1,JanDom1+8)</f>
        <v>43108</v>
      </c>
      <c r="D4" s="6">
        <f ca="1">IF(DAY(JanDom1)=1,JanDom1+2,JanDom1+9)</f>
        <v>43109</v>
      </c>
      <c r="E4" s="6">
        <f ca="1">IF(DAY(JanDom1)=1,JanDom1+3,JanDom1+10)</f>
        <v>43110</v>
      </c>
      <c r="F4" s="6">
        <f ca="1">IF(DAY(JanDom1)=1,JanDom1+4,JanDom1+11)</f>
        <v>43111</v>
      </c>
      <c r="G4" s="6">
        <f ca="1">IF(DAY(JanDom1)=1,JanDom1+5,JanDom1+12)</f>
        <v>43112</v>
      </c>
      <c r="H4" s="6">
        <f ca="1">IF(DAY(JanDom1)=1,JanDom1+6,JanDom1+13)</f>
        <v>43113</v>
      </c>
      <c r="I4" s="6">
        <f ca="1">IF(DAY(JanDom1)=1,JanDom1+7,JanDom1+14)</f>
        <v>43114</v>
      </c>
      <c r="J4" s="10"/>
      <c r="K4" s="36"/>
      <c r="L4" s="48"/>
    </row>
    <row r="5" spans="1:12" ht="30" customHeight="1" x14ac:dyDescent="0.25">
      <c r="A5" s="13"/>
      <c r="B5" s="17"/>
      <c r="C5" s="6">
        <f ca="1">IF(DAY(JanDom1)=1,JanDom1+8,JanDom1+15)</f>
        <v>43115</v>
      </c>
      <c r="D5" s="6">
        <f ca="1">IF(DAY(JanDom1)=1,JanDom1+9,JanDom1+16)</f>
        <v>43116</v>
      </c>
      <c r="E5" s="6">
        <f ca="1">IF(DAY(JanDom1)=1,JanDom1+10,JanDom1+17)</f>
        <v>43117</v>
      </c>
      <c r="F5" s="6">
        <f ca="1">IF(DAY(JanDom1)=1,JanDom1+11,JanDom1+18)</f>
        <v>43118</v>
      </c>
      <c r="G5" s="6">
        <f ca="1">IF(DAY(JanDom1)=1,JanDom1+12,JanDom1+19)</f>
        <v>43119</v>
      </c>
      <c r="H5" s="6">
        <f ca="1">IF(DAY(JanDom1)=1,JanDom1+13,JanDom1+20)</f>
        <v>43120</v>
      </c>
      <c r="I5" s="6">
        <f ca="1">IF(DAY(JanDom1)=1,JanDom1+14,JanDom1+21)</f>
        <v>43121</v>
      </c>
      <c r="J5" s="10"/>
      <c r="K5" s="36"/>
      <c r="L5" s="48"/>
    </row>
    <row r="6" spans="1:12" ht="30" customHeight="1" x14ac:dyDescent="0.25">
      <c r="A6" s="13"/>
      <c r="B6" s="17"/>
      <c r="C6" s="6">
        <f ca="1">IF(DAY(JanDom1)=1,JanDom1+15,JanDom1+22)</f>
        <v>43122</v>
      </c>
      <c r="D6" s="6">
        <f ca="1">IF(DAY(JanDom1)=1,JanDom1+16,JanDom1+23)</f>
        <v>43123</v>
      </c>
      <c r="E6" s="6">
        <f ca="1">IF(DAY(JanDom1)=1,JanDom1+17,JanDom1+24)</f>
        <v>43124</v>
      </c>
      <c r="F6" s="6">
        <f ca="1">IF(DAY(JanDom1)=1,JanDom1+18,JanDom1+25)</f>
        <v>43125</v>
      </c>
      <c r="G6" s="6">
        <f ca="1">IF(DAY(JanDom1)=1,JanDom1+19,JanDom1+26)</f>
        <v>43126</v>
      </c>
      <c r="H6" s="6">
        <f ca="1">IF(DAY(JanDom1)=1,JanDom1+20,JanDom1+27)</f>
        <v>43127</v>
      </c>
      <c r="I6" s="6">
        <f ca="1">IF(DAY(JanDom1)=1,JanDom1+21,JanDom1+28)</f>
        <v>43128</v>
      </c>
      <c r="J6" s="10"/>
      <c r="K6" s="36"/>
      <c r="L6" s="48"/>
    </row>
    <row r="7" spans="1:12" ht="30" customHeight="1" x14ac:dyDescent="0.25">
      <c r="A7" s="13"/>
      <c r="B7" s="17"/>
      <c r="C7" s="6">
        <f ca="1">IF(DAY(JanDom1)=1,JanDom1+22,JanDom1+29)</f>
        <v>43129</v>
      </c>
      <c r="D7" s="6">
        <f ca="1">IF(DAY(JanDom1)=1,JanDom1+23,JanDom1+30)</f>
        <v>43130</v>
      </c>
      <c r="E7" s="6">
        <f ca="1">IF(DAY(JanDom1)=1,JanDom1+24,JanDom1+31)</f>
        <v>43131</v>
      </c>
      <c r="F7" s="6">
        <f ca="1">IF(DAY(JanDom1)=1,JanDom1+25,JanDom1+32)</f>
        <v>43132</v>
      </c>
      <c r="G7" s="6">
        <f ca="1">IF(DAY(JanDom1)=1,JanDom1+26,JanDom1+33)</f>
        <v>43133</v>
      </c>
      <c r="H7" s="6">
        <f ca="1">IF(DAY(JanDom1)=1,JanDom1+27,JanDom1+34)</f>
        <v>43134</v>
      </c>
      <c r="I7" s="6">
        <f ca="1">IF(DAY(JanDom1)=1,JanDom1+28,JanDom1+35)</f>
        <v>43135</v>
      </c>
      <c r="J7" s="20"/>
      <c r="K7" s="35"/>
      <c r="L7" s="18"/>
    </row>
    <row r="8" spans="1:12" ht="30" customHeight="1" x14ac:dyDescent="0.25">
      <c r="A8" s="13"/>
      <c r="B8" s="18"/>
      <c r="C8" s="39">
        <f ca="1">IF(DAY(JanDom1)=1,JanDom1+29,JanDom1+36)</f>
        <v>43136</v>
      </c>
      <c r="D8" s="39">
        <f ca="1">IF(DAY(JanDom1)=1,JanDom1+30,JanDom1+37)</f>
        <v>43137</v>
      </c>
      <c r="E8" s="39">
        <f ca="1">IF(DAY(JanDom1)=1,JanDom1+31,JanDom1+38)</f>
        <v>43138</v>
      </c>
      <c r="F8" s="39">
        <f ca="1">IF(DAY(JanDom1)=1,JanDom1+32,JanDom1+39)</f>
        <v>43139</v>
      </c>
      <c r="G8" s="39">
        <f ca="1">IF(DAY(JanDom1)=1,JanDom1+33,JanDom1+40)</f>
        <v>43140</v>
      </c>
      <c r="H8" s="39">
        <f ca="1">IF(DAY(JanDom1)=1,JanDom1+34,JanDom1+41)</f>
        <v>43141</v>
      </c>
      <c r="I8" s="39">
        <f ca="1">IF(DAY(JanDom1)=1,JanDom1+35,JanDom1+42)</f>
        <v>43142</v>
      </c>
      <c r="J8" s="10" t="s">
        <v>30</v>
      </c>
      <c r="K8" s="36">
        <v>17</v>
      </c>
      <c r="L8" s="48" t="s">
        <v>17</v>
      </c>
    </row>
    <row r="9" spans="1:12" ht="30" customHeight="1" x14ac:dyDescent="0.25">
      <c r="A9" s="13"/>
      <c r="B9" s="17"/>
      <c r="C9" s="53"/>
      <c r="D9" s="53"/>
      <c r="E9" s="53"/>
      <c r="F9" s="53"/>
      <c r="G9" s="53"/>
      <c r="H9" s="53"/>
      <c r="I9" s="53"/>
      <c r="J9" s="10"/>
      <c r="K9" s="36"/>
      <c r="L9" s="48"/>
    </row>
    <row r="10" spans="1:12" ht="30" customHeight="1" x14ac:dyDescent="0.25">
      <c r="A10" s="13"/>
      <c r="B10" s="16" t="s">
        <v>4</v>
      </c>
      <c r="C10" s="9"/>
      <c r="D10" s="9"/>
      <c r="E10" s="9"/>
      <c r="F10" s="9"/>
      <c r="G10" s="9"/>
      <c r="H10" s="9"/>
      <c r="I10" s="9"/>
      <c r="J10" s="10"/>
      <c r="K10" s="36"/>
      <c r="L10" s="48"/>
    </row>
    <row r="11" spans="1:12" ht="30" customHeight="1" x14ac:dyDescent="0.25">
      <c r="A11" s="26" t="s">
        <v>0</v>
      </c>
      <c r="B11" s="14" t="s">
        <v>29</v>
      </c>
      <c r="C11" s="67" t="s">
        <v>30</v>
      </c>
      <c r="D11" s="68"/>
      <c r="E11" s="67" t="s">
        <v>31</v>
      </c>
      <c r="F11" s="68"/>
      <c r="G11" s="67" t="s">
        <v>32</v>
      </c>
      <c r="H11" s="68"/>
      <c r="I11" s="3" t="s">
        <v>33</v>
      </c>
      <c r="J11" s="10"/>
      <c r="K11" s="36"/>
      <c r="L11" s="48"/>
    </row>
    <row r="12" spans="1:12" ht="30" customHeight="1" x14ac:dyDescent="0.25">
      <c r="A12" s="26" t="s">
        <v>1</v>
      </c>
      <c r="B12" s="41">
        <v>0.33333333333333331</v>
      </c>
      <c r="C12" s="69"/>
      <c r="D12" s="69"/>
      <c r="E12" s="69">
        <v>0.33333333333333331</v>
      </c>
      <c r="F12" s="69"/>
      <c r="G12" s="69"/>
      <c r="H12" s="69"/>
      <c r="I12" s="44">
        <v>0.33333333333333331</v>
      </c>
      <c r="J12" s="45"/>
      <c r="K12" s="36"/>
      <c r="L12" s="48"/>
    </row>
    <row r="13" spans="1:12" ht="30" customHeight="1" x14ac:dyDescent="0.25">
      <c r="A13" s="26" t="s">
        <v>2</v>
      </c>
      <c r="B13" s="27" t="s">
        <v>5</v>
      </c>
      <c r="C13" s="70"/>
      <c r="D13" s="70"/>
      <c r="E13" s="70" t="s">
        <v>5</v>
      </c>
      <c r="F13" s="70"/>
      <c r="G13" s="70"/>
      <c r="H13" s="70"/>
      <c r="I13" s="43" t="s">
        <v>5</v>
      </c>
      <c r="J13" s="20"/>
      <c r="K13" s="35"/>
      <c r="L13" s="18"/>
    </row>
    <row r="14" spans="1:12" ht="30" customHeight="1" x14ac:dyDescent="0.25">
      <c r="A14" s="26" t="s">
        <v>1</v>
      </c>
      <c r="B14" s="34"/>
      <c r="C14" s="69">
        <v>0.375</v>
      </c>
      <c r="D14" s="69"/>
      <c r="E14" s="69"/>
      <c r="F14" s="69"/>
      <c r="G14" s="69">
        <v>0.375</v>
      </c>
      <c r="H14" s="71"/>
      <c r="I14" s="44"/>
      <c r="J14" s="10" t="s">
        <v>31</v>
      </c>
      <c r="K14" s="36"/>
      <c r="L14" s="48"/>
    </row>
    <row r="15" spans="1:12" ht="30" customHeight="1" x14ac:dyDescent="0.25">
      <c r="A15" s="26" t="s">
        <v>2</v>
      </c>
      <c r="B15" s="27"/>
      <c r="C15" s="70" t="s">
        <v>11</v>
      </c>
      <c r="D15" s="70"/>
      <c r="E15" s="70"/>
      <c r="F15" s="70"/>
      <c r="G15" s="70" t="s">
        <v>11</v>
      </c>
      <c r="H15" s="70"/>
      <c r="I15" s="43"/>
      <c r="J15" s="10"/>
      <c r="K15" s="36"/>
      <c r="L15" s="48"/>
    </row>
    <row r="16" spans="1:12" ht="30" customHeight="1" x14ac:dyDescent="0.25">
      <c r="A16" s="26" t="s">
        <v>1</v>
      </c>
      <c r="B16" s="34" t="s">
        <v>6</v>
      </c>
      <c r="C16" s="69"/>
      <c r="D16" s="69"/>
      <c r="E16" s="69" t="s">
        <v>6</v>
      </c>
      <c r="F16" s="69"/>
      <c r="G16" s="69"/>
      <c r="H16" s="71"/>
      <c r="I16" s="44" t="s">
        <v>6</v>
      </c>
      <c r="J16" s="10"/>
      <c r="K16" s="36"/>
      <c r="L16" s="48"/>
    </row>
    <row r="17" spans="1:12" ht="30" customHeight="1" x14ac:dyDescent="0.25">
      <c r="A17" s="26" t="s">
        <v>2</v>
      </c>
      <c r="B17" s="27" t="s">
        <v>7</v>
      </c>
      <c r="C17" s="70"/>
      <c r="D17" s="70"/>
      <c r="E17" s="70" t="s">
        <v>7</v>
      </c>
      <c r="F17" s="70"/>
      <c r="G17" s="70"/>
      <c r="H17" s="70"/>
      <c r="I17" s="43" t="s">
        <v>7</v>
      </c>
      <c r="J17" s="10"/>
      <c r="K17" s="36"/>
      <c r="L17" s="48"/>
    </row>
    <row r="18" spans="1:12" ht="30" customHeight="1" x14ac:dyDescent="0.25">
      <c r="A18" s="26" t="s">
        <v>1</v>
      </c>
      <c r="B18" s="34"/>
      <c r="C18" s="69"/>
      <c r="D18" s="69"/>
      <c r="E18" s="69"/>
      <c r="F18" s="69"/>
      <c r="G18" s="69"/>
      <c r="H18" s="71"/>
      <c r="I18" s="44"/>
      <c r="J18" s="10"/>
      <c r="K18" s="36"/>
      <c r="L18" s="48"/>
    </row>
    <row r="19" spans="1:12" ht="30" customHeight="1" x14ac:dyDescent="0.25">
      <c r="A19" s="26" t="s">
        <v>2</v>
      </c>
      <c r="B19" s="27"/>
      <c r="C19" s="70"/>
      <c r="D19" s="70"/>
      <c r="E19" s="70"/>
      <c r="F19" s="70"/>
      <c r="G19" s="70"/>
      <c r="H19" s="70"/>
      <c r="I19" s="46"/>
      <c r="J19" s="20"/>
      <c r="K19" s="35"/>
      <c r="L19" s="18"/>
    </row>
    <row r="20" spans="1:12" ht="30" customHeight="1" x14ac:dyDescent="0.25">
      <c r="A20" s="26" t="s">
        <v>1</v>
      </c>
      <c r="B20" s="34"/>
      <c r="C20" s="69"/>
      <c r="D20" s="69"/>
      <c r="E20" s="69"/>
      <c r="F20" s="69"/>
      <c r="G20" s="69"/>
      <c r="H20" s="71"/>
      <c r="I20" s="44"/>
      <c r="J20" s="10" t="s">
        <v>32</v>
      </c>
      <c r="K20" s="36"/>
      <c r="L20" s="48"/>
    </row>
    <row r="21" spans="1:12" ht="30" customHeight="1" x14ac:dyDescent="0.25">
      <c r="A21" s="26" t="s">
        <v>2</v>
      </c>
      <c r="B21" s="27"/>
      <c r="C21" s="70"/>
      <c r="D21" s="70"/>
      <c r="E21" s="70"/>
      <c r="F21" s="70"/>
      <c r="G21" s="70"/>
      <c r="H21" s="70"/>
      <c r="I21" s="43"/>
      <c r="J21" s="10"/>
      <c r="K21" s="36"/>
      <c r="L21" s="48"/>
    </row>
    <row r="22" spans="1:12" ht="30" customHeight="1" x14ac:dyDescent="0.25">
      <c r="A22" s="26" t="s">
        <v>1</v>
      </c>
      <c r="B22" s="34"/>
      <c r="C22" s="69"/>
      <c r="D22" s="69"/>
      <c r="E22" s="69"/>
      <c r="F22" s="69"/>
      <c r="G22" s="69"/>
      <c r="H22" s="71"/>
      <c r="I22" s="44"/>
      <c r="J22" s="10"/>
      <c r="K22" s="36"/>
      <c r="L22" s="48"/>
    </row>
    <row r="23" spans="1:12" ht="30" customHeight="1" x14ac:dyDescent="0.25">
      <c r="A23" s="26" t="s">
        <v>2</v>
      </c>
      <c r="B23" s="27"/>
      <c r="C23" s="70"/>
      <c r="D23" s="70"/>
      <c r="E23" s="70"/>
      <c r="F23" s="70"/>
      <c r="G23" s="70"/>
      <c r="H23" s="70"/>
      <c r="I23" s="43"/>
      <c r="J23" s="10"/>
      <c r="K23" s="36"/>
      <c r="L23" s="48"/>
    </row>
    <row r="24" spans="1:12" ht="30" customHeight="1" x14ac:dyDescent="0.25">
      <c r="A24" s="26" t="s">
        <v>1</v>
      </c>
      <c r="B24" s="34" t="s">
        <v>8</v>
      </c>
      <c r="C24" s="69"/>
      <c r="D24" s="69"/>
      <c r="E24" s="69" t="s">
        <v>8</v>
      </c>
      <c r="F24" s="69"/>
      <c r="G24" s="69"/>
      <c r="H24" s="71"/>
      <c r="I24" s="44" t="s">
        <v>8</v>
      </c>
      <c r="J24" s="10"/>
      <c r="K24" s="36"/>
      <c r="L24" s="48"/>
    </row>
    <row r="25" spans="1:12" ht="30" customHeight="1" x14ac:dyDescent="0.25">
      <c r="A25" s="26" t="s">
        <v>2</v>
      </c>
      <c r="B25" s="27" t="s">
        <v>9</v>
      </c>
      <c r="C25" s="70"/>
      <c r="D25" s="70"/>
      <c r="E25" s="70" t="s">
        <v>9</v>
      </c>
      <c r="F25" s="70"/>
      <c r="G25" s="70"/>
      <c r="H25" s="70"/>
      <c r="I25" s="43" t="s">
        <v>9</v>
      </c>
      <c r="J25" s="20"/>
      <c r="K25" s="35"/>
      <c r="L25" s="18"/>
    </row>
    <row r="26" spans="1:12" ht="30" customHeight="1" x14ac:dyDescent="0.25">
      <c r="A26" s="26" t="s">
        <v>1</v>
      </c>
      <c r="B26" s="34"/>
      <c r="C26" s="69"/>
      <c r="D26" s="69"/>
      <c r="E26" s="69"/>
      <c r="F26" s="69"/>
      <c r="G26" s="69"/>
      <c r="H26" s="71"/>
      <c r="I26" s="44"/>
      <c r="J26" s="10" t="s">
        <v>33</v>
      </c>
      <c r="K26" s="36"/>
      <c r="L26" s="48"/>
    </row>
    <row r="27" spans="1:12" ht="30" customHeight="1" x14ac:dyDescent="0.25">
      <c r="A27" s="26" t="s">
        <v>2</v>
      </c>
      <c r="B27" s="27"/>
      <c r="C27" s="70"/>
      <c r="D27" s="70"/>
      <c r="E27" s="70"/>
      <c r="F27" s="70"/>
      <c r="G27" s="70"/>
      <c r="H27" s="70"/>
      <c r="I27" s="43"/>
      <c r="J27" s="10"/>
      <c r="K27" s="36"/>
      <c r="L27" s="48"/>
    </row>
    <row r="28" spans="1:12" ht="30" customHeight="1" x14ac:dyDescent="0.25">
      <c r="A28" s="26" t="s">
        <v>1</v>
      </c>
      <c r="B28" s="34"/>
      <c r="C28" s="69" t="s">
        <v>12</v>
      </c>
      <c r="D28" s="69"/>
      <c r="E28" s="69"/>
      <c r="F28" s="69"/>
      <c r="G28" s="69" t="s">
        <v>12</v>
      </c>
      <c r="H28" s="71"/>
      <c r="I28" s="44"/>
      <c r="J28" s="10"/>
      <c r="K28" s="36"/>
      <c r="L28" s="48"/>
    </row>
    <row r="29" spans="1:12" ht="30" customHeight="1" x14ac:dyDescent="0.25">
      <c r="A29" s="26" t="s">
        <v>2</v>
      </c>
      <c r="B29" s="27"/>
      <c r="C29" s="70" t="s">
        <v>13</v>
      </c>
      <c r="D29" s="70"/>
      <c r="E29" s="70"/>
      <c r="F29" s="70"/>
      <c r="G29" s="70" t="s">
        <v>13</v>
      </c>
      <c r="H29" s="70"/>
      <c r="I29" s="43"/>
      <c r="J29" s="10"/>
      <c r="K29" s="36"/>
      <c r="L29" s="48"/>
    </row>
    <row r="30" spans="1:12" ht="30" customHeight="1" x14ac:dyDescent="0.25">
      <c r="A30" s="26" t="s">
        <v>1</v>
      </c>
      <c r="B30" s="34"/>
      <c r="C30" s="73"/>
      <c r="D30" s="73"/>
      <c r="E30" s="73"/>
      <c r="F30" s="73"/>
      <c r="G30" s="73"/>
      <c r="H30" s="73"/>
      <c r="I30" s="44"/>
      <c r="J30" s="10"/>
      <c r="K30" s="36"/>
      <c r="L30" s="48"/>
    </row>
    <row r="31" spans="1:12" ht="30" customHeight="1" x14ac:dyDescent="0.25">
      <c r="A31" s="26" t="s">
        <v>2</v>
      </c>
      <c r="B31" s="28"/>
      <c r="C31" s="72"/>
      <c r="D31" s="72"/>
      <c r="E31" s="72"/>
      <c r="F31" s="72"/>
      <c r="G31" s="72"/>
      <c r="H31" s="72"/>
      <c r="I31" s="29"/>
      <c r="J31" s="15"/>
      <c r="K31" s="42"/>
      <c r="L31" s="48"/>
    </row>
  </sheetData>
  <dataConsolidate/>
  <mergeCells count="63">
    <mergeCell ref="E11:F11"/>
    <mergeCell ref="C11:D11"/>
    <mergeCell ref="C17:D17"/>
    <mergeCell ref="C12:D12"/>
    <mergeCell ref="C13:D13"/>
    <mergeCell ref="C14:D14"/>
    <mergeCell ref="C15:D15"/>
    <mergeCell ref="C16:D16"/>
    <mergeCell ref="E14:F14"/>
    <mergeCell ref="E13:F13"/>
    <mergeCell ref="E12:F12"/>
    <mergeCell ref="C31:D31"/>
    <mergeCell ref="C22:D22"/>
    <mergeCell ref="C23:D23"/>
    <mergeCell ref="C24:D24"/>
    <mergeCell ref="C25:D25"/>
    <mergeCell ref="C26:D26"/>
    <mergeCell ref="C27:D27"/>
    <mergeCell ref="C28:D28"/>
    <mergeCell ref="C29:D29"/>
    <mergeCell ref="C30:D30"/>
    <mergeCell ref="C18:D18"/>
    <mergeCell ref="C19:D19"/>
    <mergeCell ref="C20:D20"/>
    <mergeCell ref="C21:D21"/>
    <mergeCell ref="E31:F31"/>
    <mergeCell ref="E30:F30"/>
    <mergeCell ref="E29:F29"/>
    <mergeCell ref="E28:F28"/>
    <mergeCell ref="E27:F27"/>
    <mergeCell ref="E26:F26"/>
    <mergeCell ref="E25:F25"/>
    <mergeCell ref="E24:F24"/>
    <mergeCell ref="E23:F23"/>
    <mergeCell ref="E22:F22"/>
    <mergeCell ref="E21:F21"/>
    <mergeCell ref="E20:F20"/>
    <mergeCell ref="E19:F19"/>
    <mergeCell ref="E18:F18"/>
    <mergeCell ref="E17:F17"/>
    <mergeCell ref="E16:F16"/>
    <mergeCell ref="E15:F15"/>
    <mergeCell ref="G31:H31"/>
    <mergeCell ref="G20:H20"/>
    <mergeCell ref="G21:H21"/>
    <mergeCell ref="G22:H22"/>
    <mergeCell ref="G28:H28"/>
    <mergeCell ref="G29:H29"/>
    <mergeCell ref="G30:H30"/>
    <mergeCell ref="G23:H23"/>
    <mergeCell ref="G24:H24"/>
    <mergeCell ref="G25:H25"/>
    <mergeCell ref="G26:H26"/>
    <mergeCell ref="G18:H18"/>
    <mergeCell ref="G19:H19"/>
    <mergeCell ref="G14:H14"/>
    <mergeCell ref="G15:H15"/>
    <mergeCell ref="G27:H27"/>
    <mergeCell ref="G11:H11"/>
    <mergeCell ref="G12:H12"/>
    <mergeCell ref="G13:H13"/>
    <mergeCell ref="G16:H16"/>
    <mergeCell ref="G17:H17"/>
  </mergeCells>
  <phoneticPr fontId="2" type="noConversion"/>
  <conditionalFormatting sqref="C3:H3">
    <cfRule type="expression" dxfId="85" priority="9" stopIfTrue="1">
      <formula>DAY(C3)&gt;8</formula>
    </cfRule>
  </conditionalFormatting>
  <conditionalFormatting sqref="C7:I8">
    <cfRule type="expression" dxfId="84" priority="8" stopIfTrue="1">
      <formula>AND(DAY(C7)&gt;=1,DAY(C7)&lt;=15)</formula>
    </cfRule>
  </conditionalFormatting>
  <conditionalFormatting sqref="C3:I8">
    <cfRule type="expression" dxfId="83" priority="20">
      <formula>VLOOKUP(DAY(C3),AssignmentDays,1,FALSE)=DAY(C3)</formula>
    </cfRule>
  </conditionalFormatting>
  <conditionalFormatting sqref="B12:I12 B14:I14 B16:I16 B18:I18 B20:I20 B22:I22 B24:I24 B26:I26 B28:I28 B30:I30">
    <cfRule type="expression" dxfId="82" priority="6">
      <formula>B12&lt;&gt;""</formula>
    </cfRule>
  </conditionalFormatting>
  <conditionalFormatting sqref="B13:I13 B15:I15 B17:I17 B19:I19 B21:I21 B23:I23 B25:I25 B27:I27 B29:I29 B31:I31">
    <cfRule type="expression" dxfId="81" priority="4">
      <formula>B13&lt;&gt;""</formula>
    </cfRule>
  </conditionalFormatting>
  <conditionalFormatting sqref="B13:I13 B15:I15 B17:I17 B19:I19 B21:I21 B23:I23 B25:I25 B27:I27 B29:I29">
    <cfRule type="expression" dxfId="80" priority="3">
      <formula>COLUMN(B12)&gt;=2</formula>
    </cfRule>
  </conditionalFormatting>
  <conditionalFormatting sqref="B12:I31">
    <cfRule type="expression" dxfId="79" priority="1">
      <formula>COLUMN(B11)&gt;2</formula>
    </cfRule>
  </conditionalFormatting>
  <dataValidations xWindow="250" yWindow="581" count="13">
    <dataValidation allowBlank="1" showInputMessage="1" showErrorMessage="1" prompt="Escriba el año en esta celda." sqref="B1" xr:uid="{00000000-0002-0000-0000-000000000000}"/>
    <dataValidation allowBlank="1" showInputMessage="1" showErrorMessage="1" prompt="Prepare una programación semanal y cree una lista de tareas en esta hoja de cálculo. El calendario mensual resalta automáticamente las entradas de la lista de tareas. Escriba el año natural en la celda B1." sqref="A1" xr:uid="{00000000-0002-0000-0000-000001000000}"/>
    <dataValidation allowBlank="1" showInputMessage="1" showErrorMessage="1" prompt="El calendario de enero resalta automáticamente las entradas de la lista de tareas para el mes. Las fuentes más oscuras indican tareas. Las fuentes más claras indican días que pertenecen al mes anterior o siguiente." sqref="B2" xr:uid="{00000000-0002-0000-0000-000002000000}"/>
    <dataValidation allowBlank="1" showInputMessage="1" showErrorMessage="1" prompt="Las celdas C2 a I2 contienen días de la semana." sqref="C2" xr:uid="{00000000-0002-0000-0000-000003000000}"/>
    <dataValidation allowBlank="1" showInputMessage="1" showErrorMessage="1" prompt="Si esta celda no contiene el número 1, se trata de un día del mes anterior. Las celdas C3 a I8 contienen fechas para el mes actual." sqref="C3" xr:uid="{00000000-0002-0000-0000-000004000000}"/>
    <dataValidation allowBlank="1" showInputMessage="1" showErrorMessage="1" prompt="Escriba la hora de la clase y debajo, en una nueva fila, el nombre de clase para cada día de la semana en las columnas B a I. Repita este patrón para todas las clases en las filas posteriores." sqref="B10" xr:uid="{00000000-0002-0000-0000-000005000000}"/>
    <dataValidation allowBlank="1" showInputMessage="1" showErrorMessage="1" prompt="Escriba la clase en esta fila, de la columna B a la I." sqref="B13" xr:uid="{00000000-0002-0000-0000-000006000000}"/>
    <dataValidation allowBlank="1" showInputMessage="1" showErrorMessage="1" prompt="Escriba en esta columna el día de la tarea del mes que corresponda al día de la semana de la columna J. Esta fecha resaltará la tarea en el calendario de la izquierda." sqref="K1" xr:uid="{00000000-0002-0000-0000-000007000000}"/>
    <dataValidation allowBlank="1" showInputMessage="1" showErrorMessage="1" prompt="Escriba la hora en esta fila, de la columna B a la I." sqref="B12" xr:uid="{00000000-0002-0000-0000-000008000000}"/>
    <dataValidation allowBlank="1" showInputMessage="1" showErrorMessage="1" prompt="Escriba en esta columna los detalles de la tarea correspondientes al día de la semana de la columna J y al día de la columna K del mes del calendario de la izquierda." sqref="L1" xr:uid="{00000000-0002-0000-0000-000009000000}"/>
    <dataValidation allowBlank="1" showInputMessage="1" showErrorMessage="1" prompt="Si esta fila contiene un número menor que el número o la fila de números anterior, en ese caso, esta fila contiene fechas para el próximo mes del calendario." sqref="C8" xr:uid="{00000000-0002-0000-0000-00000A000000}"/>
    <dataValidation allowBlank="1" showInputMessage="1" showErrorMessage="1" prompt="Los días de la semana se agrupan en esta columna con 6 filas para las tareas para cada día laborable agrupado del mes. Inserte las nuevas filas para agregar más tareas. El calendario a la izquierda resaltará elementos." sqref="J1" xr:uid="{00000000-0002-0000-0000-00000B000000}"/>
    <dataValidation allowBlank="1" showInputMessage="1" showErrorMessage="1" prompt="Los días de la semana se encuentran en esta fila, del lunes al viernes." sqref="B11" xr:uid="{00000000-0002-0000-0000-00000C000000}"/>
  </dataValidations>
  <printOptions horizontalCentered="1" verticalCentered="1"/>
  <pageMargins left="0.5" right="0.5" top="0.5" bottom="0.5" header="0.3" footer="0.3"/>
  <pageSetup paperSize="9" scale="58" orientation="landscape" r:id="rId1"/>
  <headerFooter differentFirst="1">
    <oddFooter>Page &amp;P of &amp;N</oddFooter>
  </headerFooter>
  <tableParts count="1">
    <tablePart r:id="rId2"/>
  </tableParts>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4"/>
    <pageSetUpPr fitToPage="1"/>
  </sheetPr>
  <dimension ref="A1:L31"/>
  <sheetViews>
    <sheetView showGridLines="0" zoomScaleNormal="100" zoomScalePageLayoutView="84" workbookViewId="0"/>
  </sheetViews>
  <sheetFormatPr baseColWidth="10" defaultColWidth="8.625" defaultRowHeight="30" customHeight="1" x14ac:dyDescent="0.2"/>
  <cols>
    <col min="1" max="1" width="2.625" style="1" customWidth="1"/>
    <col min="2" max="2" width="20.625" style="17" customWidth="1"/>
    <col min="3" max="8" width="10.625" style="1" customWidth="1"/>
    <col min="9" max="9" width="20.625" style="1" customWidth="1"/>
    <col min="10" max="10" width="10.625" style="17" customWidth="1"/>
    <col min="11" max="11" width="10.625" style="2" customWidth="1"/>
    <col min="12" max="12" width="70.625" style="1" customWidth="1"/>
    <col min="13" max="13" width="2.625" customWidth="1"/>
  </cols>
  <sheetData>
    <row r="1" spans="1:12" ht="30" customHeight="1" x14ac:dyDescent="0.2">
      <c r="A1" s="17"/>
      <c r="B1" s="12">
        <f ca="1">AñoCalendario</f>
        <v>2018</v>
      </c>
      <c r="J1" s="19" t="s">
        <v>0</v>
      </c>
      <c r="K1" s="19" t="s">
        <v>14</v>
      </c>
      <c r="L1" s="11" t="s">
        <v>15</v>
      </c>
    </row>
    <row r="2" spans="1:12" ht="30" customHeight="1" x14ac:dyDescent="0.25">
      <c r="A2" s="13"/>
      <c r="B2" s="23" t="s">
        <v>26</v>
      </c>
      <c r="C2" s="7" t="s">
        <v>29</v>
      </c>
      <c r="D2" s="7" t="s">
        <v>30</v>
      </c>
      <c r="E2" s="7" t="s">
        <v>31</v>
      </c>
      <c r="F2" s="7" t="s">
        <v>32</v>
      </c>
      <c r="G2" s="7" t="s">
        <v>33</v>
      </c>
      <c r="H2" s="7" t="s">
        <v>34</v>
      </c>
      <c r="I2" s="7" t="s">
        <v>35</v>
      </c>
      <c r="J2" s="10" t="s">
        <v>29</v>
      </c>
      <c r="K2" s="42"/>
      <c r="L2" s="49"/>
    </row>
    <row r="3" spans="1:12" ht="30" customHeight="1" x14ac:dyDescent="0.25">
      <c r="A3" s="13"/>
      <c r="C3" s="6">
        <f ca="1">IF(DAY(OctDom1)=1,OctDom1-6,OctDom1+1)</f>
        <v>43374</v>
      </c>
      <c r="D3" s="6">
        <f ca="1">IF(DAY(OctDom1)=1,OctDom1-5,OctDom1+2)</f>
        <v>43375</v>
      </c>
      <c r="E3" s="6">
        <f ca="1">IF(DAY(OctDom1)=1,OctDom1-4,OctDom1+3)</f>
        <v>43376</v>
      </c>
      <c r="F3" s="6">
        <f ca="1">IF(DAY(OctDom1)=1,OctDom1-3,OctDom1+4)</f>
        <v>43377</v>
      </c>
      <c r="G3" s="6">
        <f ca="1">IF(DAY(OctDom1)=1,OctDom1-2,OctDom1+5)</f>
        <v>43378</v>
      </c>
      <c r="H3" s="6">
        <f ca="1">IF(DAY(OctDom1)=1,OctDom1-1,OctDom1+6)</f>
        <v>43379</v>
      </c>
      <c r="I3" s="6">
        <f ca="1">IF(DAY(OctDom1)=1,OctDom1,OctDom1+7)</f>
        <v>43380</v>
      </c>
      <c r="J3" s="10"/>
      <c r="K3" s="36"/>
      <c r="L3" s="49"/>
    </row>
    <row r="4" spans="1:12" ht="30" customHeight="1" x14ac:dyDescent="0.25">
      <c r="A4" s="13"/>
      <c r="C4" s="6">
        <f ca="1">IF(DAY(OctDom1)=1,OctDom1+1,OctDom1+8)</f>
        <v>43381</v>
      </c>
      <c r="D4" s="6">
        <f ca="1">IF(DAY(OctDom1)=1,OctDom1+2,OctDom1+9)</f>
        <v>43382</v>
      </c>
      <c r="E4" s="6">
        <f ca="1">IF(DAY(OctDom1)=1,OctDom1+3,OctDom1+10)</f>
        <v>43383</v>
      </c>
      <c r="F4" s="6">
        <f ca="1">IF(DAY(OctDom1)=1,OctDom1+4,OctDom1+11)</f>
        <v>43384</v>
      </c>
      <c r="G4" s="6">
        <f ca="1">IF(DAY(OctDom1)=1,OctDom1+5,OctDom1+12)</f>
        <v>43385</v>
      </c>
      <c r="H4" s="6">
        <f ca="1">IF(DAY(OctDom1)=1,OctDom1+6,OctDom1+13)</f>
        <v>43386</v>
      </c>
      <c r="I4" s="6">
        <f ca="1">IF(DAY(OctDom1)=1,OctDom1+7,OctDom1+14)</f>
        <v>43387</v>
      </c>
      <c r="J4" s="10"/>
      <c r="K4" s="36"/>
      <c r="L4" s="49"/>
    </row>
    <row r="5" spans="1:12" ht="30" customHeight="1" x14ac:dyDescent="0.25">
      <c r="A5" s="13"/>
      <c r="C5" s="6">
        <f ca="1">IF(DAY(OctDom1)=1,OctDom1+8,OctDom1+15)</f>
        <v>43388</v>
      </c>
      <c r="D5" s="6">
        <f ca="1">IF(DAY(OctDom1)=1,OctDom1+9,OctDom1+16)</f>
        <v>43389</v>
      </c>
      <c r="E5" s="6">
        <f ca="1">IF(DAY(OctDom1)=1,OctDom1+10,OctDom1+17)</f>
        <v>43390</v>
      </c>
      <c r="F5" s="6">
        <f ca="1">IF(DAY(OctDom1)=1,OctDom1+11,OctDom1+18)</f>
        <v>43391</v>
      </c>
      <c r="G5" s="6">
        <f ca="1">IF(DAY(OctDom1)=1,OctDom1+12,OctDom1+19)</f>
        <v>43392</v>
      </c>
      <c r="H5" s="6">
        <f ca="1">IF(DAY(OctDom1)=1,OctDom1+13,OctDom1+20)</f>
        <v>43393</v>
      </c>
      <c r="I5" s="6">
        <f ca="1">IF(DAY(OctDom1)=1,OctDom1+14,OctDom1+21)</f>
        <v>43394</v>
      </c>
      <c r="J5" s="10"/>
      <c r="K5" s="36"/>
      <c r="L5" s="49"/>
    </row>
    <row r="6" spans="1:12" ht="30" customHeight="1" x14ac:dyDescent="0.25">
      <c r="A6" s="13"/>
      <c r="C6" s="6">
        <f ca="1">IF(DAY(OctDom1)=1,OctDom1+15,OctDom1+22)</f>
        <v>43395</v>
      </c>
      <c r="D6" s="6">
        <f ca="1">IF(DAY(OctDom1)=1,OctDom1+16,OctDom1+23)</f>
        <v>43396</v>
      </c>
      <c r="E6" s="6">
        <f ca="1">IF(DAY(OctDom1)=1,OctDom1+17,OctDom1+24)</f>
        <v>43397</v>
      </c>
      <c r="F6" s="6">
        <f ca="1">IF(DAY(OctDom1)=1,OctDom1+18,OctDom1+25)</f>
        <v>43398</v>
      </c>
      <c r="G6" s="6">
        <f ca="1">IF(DAY(OctDom1)=1,OctDom1+19,OctDom1+26)</f>
        <v>43399</v>
      </c>
      <c r="H6" s="6">
        <f ca="1">IF(DAY(OctDom1)=1,OctDom1+20,OctDom1+27)</f>
        <v>43400</v>
      </c>
      <c r="I6" s="6">
        <f ca="1">IF(DAY(OctDom1)=1,OctDom1+21,OctDom1+28)</f>
        <v>43401</v>
      </c>
      <c r="J6" s="10"/>
      <c r="K6" s="36"/>
      <c r="L6" s="49"/>
    </row>
    <row r="7" spans="1:12" ht="30" customHeight="1" x14ac:dyDescent="0.25">
      <c r="A7" s="13"/>
      <c r="C7" s="6">
        <f ca="1">IF(DAY(OctDom1)=1,OctDom1+22,OctDom1+29)</f>
        <v>43402</v>
      </c>
      <c r="D7" s="6">
        <f ca="1">IF(DAY(OctDom1)=1,OctDom1+23,OctDom1+30)</f>
        <v>43403</v>
      </c>
      <c r="E7" s="6">
        <f ca="1">IF(DAY(OctDom1)=1,OctDom1+24,OctDom1+31)</f>
        <v>43404</v>
      </c>
      <c r="F7" s="6">
        <f ca="1">IF(DAY(OctDom1)=1,OctDom1+25,OctDom1+32)</f>
        <v>43405</v>
      </c>
      <c r="G7" s="6">
        <f ca="1">IF(DAY(OctDom1)=1,OctDom1+26,OctDom1+33)</f>
        <v>43406</v>
      </c>
      <c r="H7" s="6">
        <f ca="1">IF(DAY(OctDom1)=1,OctDom1+27,OctDom1+34)</f>
        <v>43407</v>
      </c>
      <c r="I7" s="6">
        <f ca="1">IF(DAY(OctDom1)=1,OctDom1+28,OctDom1+35)</f>
        <v>43408</v>
      </c>
      <c r="J7" s="20"/>
      <c r="K7" s="35"/>
      <c r="L7" s="18"/>
    </row>
    <row r="8" spans="1:12" ht="30" customHeight="1" x14ac:dyDescent="0.25">
      <c r="A8" s="13"/>
      <c r="B8" s="18"/>
      <c r="C8" s="6">
        <f ca="1">IF(DAY(OctDom1)=1,OctDom1+29,OctDom1+36)</f>
        <v>43409</v>
      </c>
      <c r="D8" s="6">
        <f ca="1">IF(DAY(OctDom1)=1,OctDom1+30,OctDom1+37)</f>
        <v>43410</v>
      </c>
      <c r="E8" s="6">
        <f ca="1">IF(DAY(OctDom1)=1,OctDom1+31,OctDom1+38)</f>
        <v>43411</v>
      </c>
      <c r="F8" s="6">
        <f ca="1">IF(DAY(OctDom1)=1,OctDom1+32,OctDom1+39)</f>
        <v>43412</v>
      </c>
      <c r="G8" s="6">
        <f ca="1">IF(DAY(OctDom1)=1,OctDom1+33,OctDom1+40)</f>
        <v>43413</v>
      </c>
      <c r="H8" s="6">
        <f ca="1">IF(DAY(OctDom1)=1,OctDom1+34,OctDom1+41)</f>
        <v>43414</v>
      </c>
      <c r="I8" s="6">
        <f ca="1">IF(DAY(OctDom1)=1,OctDom1+35,OctDom1+42)</f>
        <v>43415</v>
      </c>
      <c r="J8" s="10" t="s">
        <v>30</v>
      </c>
      <c r="K8" s="37"/>
      <c r="L8" s="49"/>
    </row>
    <row r="9" spans="1:12" ht="30" customHeight="1" x14ac:dyDescent="0.25">
      <c r="A9" s="13"/>
      <c r="C9" s="4"/>
      <c r="D9" s="4"/>
      <c r="E9" s="4"/>
      <c r="F9" s="4"/>
      <c r="G9" s="4"/>
      <c r="H9" s="4"/>
      <c r="I9" s="4"/>
      <c r="J9" s="10"/>
      <c r="K9" s="36"/>
      <c r="L9" s="49"/>
    </row>
    <row r="10" spans="1:12" ht="30" customHeight="1" x14ac:dyDescent="0.25">
      <c r="A10" s="13"/>
      <c r="B10" s="16" t="s">
        <v>4</v>
      </c>
      <c r="C10" s="9"/>
      <c r="D10" s="9"/>
      <c r="E10" s="9"/>
      <c r="F10" s="9"/>
      <c r="G10" s="9"/>
      <c r="H10" s="9"/>
      <c r="I10" s="9"/>
      <c r="J10" s="10"/>
      <c r="K10" s="36"/>
      <c r="L10" s="49"/>
    </row>
    <row r="11" spans="1:12" ht="30" customHeight="1" x14ac:dyDescent="0.25">
      <c r="A11" s="26" t="s">
        <v>0</v>
      </c>
      <c r="B11" s="25" t="s">
        <v>29</v>
      </c>
      <c r="C11" s="67" t="s">
        <v>30</v>
      </c>
      <c r="D11" s="68"/>
      <c r="E11" s="67" t="s">
        <v>31</v>
      </c>
      <c r="F11" s="68"/>
      <c r="G11" s="67" t="s">
        <v>32</v>
      </c>
      <c r="H11" s="68"/>
      <c r="I11" s="3" t="s">
        <v>33</v>
      </c>
      <c r="J11" s="10"/>
      <c r="K11" s="36"/>
      <c r="L11" s="49"/>
    </row>
    <row r="12" spans="1:12" ht="30" customHeight="1" x14ac:dyDescent="0.25">
      <c r="A12" s="26" t="s">
        <v>1</v>
      </c>
      <c r="B12" s="21">
        <v>0.33333333333333331</v>
      </c>
      <c r="C12" s="75"/>
      <c r="D12" s="75"/>
      <c r="E12" s="75">
        <v>0.33333333333333331</v>
      </c>
      <c r="F12" s="75"/>
      <c r="G12" s="75"/>
      <c r="H12" s="75"/>
      <c r="I12" s="22">
        <v>0.33333333333333331</v>
      </c>
      <c r="J12" s="10"/>
      <c r="K12" s="36"/>
      <c r="L12" s="49"/>
    </row>
    <row r="13" spans="1:12" ht="30" customHeight="1" x14ac:dyDescent="0.25">
      <c r="A13" s="26" t="s">
        <v>2</v>
      </c>
      <c r="B13" s="27" t="s">
        <v>5</v>
      </c>
      <c r="C13" s="70"/>
      <c r="D13" s="70"/>
      <c r="E13" s="70" t="s">
        <v>5</v>
      </c>
      <c r="F13" s="70"/>
      <c r="G13" s="70"/>
      <c r="H13" s="70"/>
      <c r="I13" s="30" t="s">
        <v>5</v>
      </c>
      <c r="J13" s="20"/>
      <c r="K13" s="35"/>
      <c r="L13" s="18"/>
    </row>
    <row r="14" spans="1:12" ht="30" customHeight="1" x14ac:dyDescent="0.25">
      <c r="A14" s="26" t="s">
        <v>1</v>
      </c>
      <c r="B14" s="21"/>
      <c r="C14" s="75">
        <v>0.375</v>
      </c>
      <c r="D14" s="75"/>
      <c r="E14" s="75"/>
      <c r="F14" s="75"/>
      <c r="G14" s="75">
        <v>0.375</v>
      </c>
      <c r="H14" s="75"/>
      <c r="I14" s="22"/>
      <c r="J14" s="10" t="s">
        <v>31</v>
      </c>
      <c r="K14" s="37"/>
      <c r="L14" s="49"/>
    </row>
    <row r="15" spans="1:12" ht="30" customHeight="1" x14ac:dyDescent="0.25">
      <c r="A15" s="26" t="s">
        <v>2</v>
      </c>
      <c r="B15" s="27"/>
      <c r="C15" s="70" t="s">
        <v>11</v>
      </c>
      <c r="D15" s="70"/>
      <c r="E15" s="70"/>
      <c r="F15" s="70"/>
      <c r="G15" s="70" t="s">
        <v>11</v>
      </c>
      <c r="H15" s="70"/>
      <c r="I15" s="30"/>
      <c r="J15" s="10"/>
      <c r="K15" s="36"/>
      <c r="L15" s="49"/>
    </row>
    <row r="16" spans="1:12" ht="30" customHeight="1" x14ac:dyDescent="0.25">
      <c r="A16" s="26" t="s">
        <v>1</v>
      </c>
      <c r="B16" s="21" t="s">
        <v>6</v>
      </c>
      <c r="C16" s="75"/>
      <c r="D16" s="75"/>
      <c r="E16" s="75" t="s">
        <v>6</v>
      </c>
      <c r="F16" s="75"/>
      <c r="G16" s="75"/>
      <c r="H16" s="75"/>
      <c r="I16" s="24" t="s">
        <v>6</v>
      </c>
      <c r="J16" s="10"/>
      <c r="K16" s="36"/>
      <c r="L16" s="49"/>
    </row>
    <row r="17" spans="1:12" ht="30" customHeight="1" x14ac:dyDescent="0.25">
      <c r="A17" s="26" t="s">
        <v>2</v>
      </c>
      <c r="B17" s="27" t="s">
        <v>7</v>
      </c>
      <c r="C17" s="70"/>
      <c r="D17" s="70"/>
      <c r="E17" s="70" t="s">
        <v>7</v>
      </c>
      <c r="F17" s="70"/>
      <c r="G17" s="70"/>
      <c r="H17" s="70"/>
      <c r="I17" s="30" t="s">
        <v>7</v>
      </c>
      <c r="J17" s="10"/>
      <c r="K17" s="36"/>
      <c r="L17" s="49"/>
    </row>
    <row r="18" spans="1:12" ht="30" customHeight="1" x14ac:dyDescent="0.25">
      <c r="A18" s="26" t="s">
        <v>1</v>
      </c>
      <c r="B18" s="21"/>
      <c r="C18" s="75"/>
      <c r="D18" s="75"/>
      <c r="E18" s="75"/>
      <c r="F18" s="75"/>
      <c r="G18" s="75"/>
      <c r="H18" s="75"/>
      <c r="I18" s="22"/>
      <c r="J18" s="10"/>
      <c r="K18" s="36"/>
      <c r="L18" s="49"/>
    </row>
    <row r="19" spans="1:12" ht="30" customHeight="1" x14ac:dyDescent="0.25">
      <c r="A19" s="26" t="s">
        <v>2</v>
      </c>
      <c r="B19" s="27"/>
      <c r="C19" s="70"/>
      <c r="D19" s="70"/>
      <c r="E19" s="70"/>
      <c r="F19" s="70"/>
      <c r="G19" s="70"/>
      <c r="H19" s="70"/>
      <c r="I19" s="47"/>
      <c r="J19" s="20"/>
      <c r="K19" s="35"/>
      <c r="L19" s="50"/>
    </row>
    <row r="20" spans="1:12" ht="30" customHeight="1" x14ac:dyDescent="0.25">
      <c r="A20" s="26" t="s">
        <v>1</v>
      </c>
      <c r="B20" s="21"/>
      <c r="C20" s="75"/>
      <c r="D20" s="75"/>
      <c r="E20" s="75"/>
      <c r="F20" s="75"/>
      <c r="G20" s="75"/>
      <c r="H20" s="75"/>
      <c r="I20" s="22"/>
      <c r="J20" s="10" t="s">
        <v>32</v>
      </c>
      <c r="K20" s="37"/>
      <c r="L20" s="49"/>
    </row>
    <row r="21" spans="1:12" ht="30" customHeight="1" x14ac:dyDescent="0.25">
      <c r="A21" s="26" t="s">
        <v>2</v>
      </c>
      <c r="B21" s="27"/>
      <c r="C21" s="70"/>
      <c r="D21" s="70"/>
      <c r="E21" s="70"/>
      <c r="F21" s="70"/>
      <c r="G21" s="70"/>
      <c r="H21" s="70"/>
      <c r="I21" s="30"/>
      <c r="J21" s="10"/>
      <c r="K21" s="36"/>
      <c r="L21" s="49"/>
    </row>
    <row r="22" spans="1:12" ht="30" customHeight="1" x14ac:dyDescent="0.25">
      <c r="A22" s="26" t="s">
        <v>1</v>
      </c>
      <c r="B22" s="21"/>
      <c r="C22" s="75"/>
      <c r="D22" s="75"/>
      <c r="E22" s="75"/>
      <c r="F22" s="75"/>
      <c r="G22" s="75"/>
      <c r="H22" s="75"/>
      <c r="I22" s="22"/>
      <c r="J22" s="10"/>
      <c r="K22" s="36"/>
      <c r="L22" s="49"/>
    </row>
    <row r="23" spans="1:12" ht="30" customHeight="1" x14ac:dyDescent="0.25">
      <c r="A23" s="26" t="s">
        <v>2</v>
      </c>
      <c r="B23" s="27"/>
      <c r="C23" s="70"/>
      <c r="D23" s="70"/>
      <c r="E23" s="70"/>
      <c r="F23" s="70"/>
      <c r="G23" s="70"/>
      <c r="H23" s="70"/>
      <c r="I23" s="30"/>
      <c r="J23" s="10"/>
      <c r="K23" s="36"/>
      <c r="L23" s="49"/>
    </row>
    <row r="24" spans="1:12" ht="30" customHeight="1" x14ac:dyDescent="0.25">
      <c r="A24" s="26" t="s">
        <v>1</v>
      </c>
      <c r="B24" s="21" t="s">
        <v>8</v>
      </c>
      <c r="C24" s="75"/>
      <c r="D24" s="75"/>
      <c r="E24" s="75" t="s">
        <v>8</v>
      </c>
      <c r="F24" s="75"/>
      <c r="G24" s="75"/>
      <c r="H24" s="75"/>
      <c r="I24" s="22" t="s">
        <v>8</v>
      </c>
      <c r="J24" s="10"/>
      <c r="K24" s="36"/>
      <c r="L24" s="49"/>
    </row>
    <row r="25" spans="1:12" ht="30" customHeight="1" x14ac:dyDescent="0.25">
      <c r="A25" s="26" t="s">
        <v>2</v>
      </c>
      <c r="B25" s="27" t="s">
        <v>9</v>
      </c>
      <c r="C25" s="70"/>
      <c r="D25" s="70"/>
      <c r="E25" s="70" t="s">
        <v>9</v>
      </c>
      <c r="F25" s="70"/>
      <c r="G25" s="70"/>
      <c r="H25" s="70"/>
      <c r="I25" s="30" t="s">
        <v>9</v>
      </c>
      <c r="J25" s="20"/>
      <c r="K25" s="35"/>
      <c r="L25" s="50"/>
    </row>
    <row r="26" spans="1:12" ht="30" customHeight="1" x14ac:dyDescent="0.25">
      <c r="A26" s="26" t="s">
        <v>1</v>
      </c>
      <c r="B26" s="21"/>
      <c r="C26" s="75"/>
      <c r="D26" s="75"/>
      <c r="E26" s="75"/>
      <c r="F26" s="75"/>
      <c r="G26" s="75"/>
      <c r="H26" s="75"/>
      <c r="I26" s="22"/>
      <c r="J26" s="10" t="s">
        <v>33</v>
      </c>
      <c r="K26" s="37"/>
      <c r="L26" s="49"/>
    </row>
    <row r="27" spans="1:12" ht="30" customHeight="1" x14ac:dyDescent="0.25">
      <c r="A27" s="26" t="s">
        <v>2</v>
      </c>
      <c r="B27" s="27"/>
      <c r="C27" s="70"/>
      <c r="D27" s="70"/>
      <c r="E27" s="70"/>
      <c r="F27" s="70"/>
      <c r="G27" s="70"/>
      <c r="H27" s="70"/>
      <c r="I27" s="30"/>
      <c r="J27" s="10"/>
      <c r="K27" s="36"/>
      <c r="L27" s="49"/>
    </row>
    <row r="28" spans="1:12" ht="30" customHeight="1" x14ac:dyDescent="0.25">
      <c r="A28" s="26" t="s">
        <v>1</v>
      </c>
      <c r="B28" s="21"/>
      <c r="C28" s="75" t="s">
        <v>12</v>
      </c>
      <c r="D28" s="75"/>
      <c r="E28" s="75"/>
      <c r="F28" s="75"/>
      <c r="G28" s="75" t="s">
        <v>12</v>
      </c>
      <c r="H28" s="75"/>
      <c r="I28" s="22"/>
      <c r="J28" s="10"/>
      <c r="K28" s="36"/>
      <c r="L28" s="49"/>
    </row>
    <row r="29" spans="1:12" ht="30" customHeight="1" x14ac:dyDescent="0.25">
      <c r="A29" s="26" t="s">
        <v>2</v>
      </c>
      <c r="B29" s="27"/>
      <c r="C29" s="70" t="s">
        <v>13</v>
      </c>
      <c r="D29" s="70"/>
      <c r="E29" s="70"/>
      <c r="F29" s="70"/>
      <c r="G29" s="70" t="s">
        <v>13</v>
      </c>
      <c r="H29" s="70"/>
      <c r="I29" s="30"/>
      <c r="J29" s="10"/>
      <c r="K29" s="36"/>
      <c r="L29" s="49"/>
    </row>
    <row r="30" spans="1:12" ht="30" customHeight="1" x14ac:dyDescent="0.25">
      <c r="A30" s="26" t="s">
        <v>1</v>
      </c>
      <c r="B30" s="21"/>
      <c r="C30" s="75"/>
      <c r="D30" s="75"/>
      <c r="E30" s="75"/>
      <c r="F30" s="75"/>
      <c r="G30" s="75"/>
      <c r="H30" s="75"/>
      <c r="I30" s="22"/>
      <c r="J30" s="10"/>
      <c r="K30" s="36"/>
      <c r="L30" s="49"/>
    </row>
    <row r="31" spans="1:12" ht="30" customHeight="1" x14ac:dyDescent="0.25">
      <c r="A31" s="26" t="s">
        <v>2</v>
      </c>
      <c r="B31" s="28"/>
      <c r="C31" s="72"/>
      <c r="D31" s="72"/>
      <c r="E31" s="72"/>
      <c r="F31" s="72"/>
      <c r="G31" s="72"/>
      <c r="H31" s="72"/>
      <c r="I31" s="40"/>
      <c r="J31" s="10"/>
      <c r="K31" s="42"/>
      <c r="L31" s="51"/>
    </row>
  </sheetData>
  <mergeCells count="63">
    <mergeCell ref="C31:D31"/>
    <mergeCell ref="E31:F31"/>
    <mergeCell ref="G31:H31"/>
    <mergeCell ref="C29:D29"/>
    <mergeCell ref="E29:F29"/>
    <mergeCell ref="G29:H29"/>
    <mergeCell ref="C30:D30"/>
    <mergeCell ref="E30:F30"/>
    <mergeCell ref="G30:H30"/>
    <mergeCell ref="C27:D27"/>
    <mergeCell ref="E27:F27"/>
    <mergeCell ref="G27:H27"/>
    <mergeCell ref="C28:D28"/>
    <mergeCell ref="E28:F28"/>
    <mergeCell ref="G28:H28"/>
    <mergeCell ref="C25:D25"/>
    <mergeCell ref="E25:F25"/>
    <mergeCell ref="G25:H25"/>
    <mergeCell ref="C26:D26"/>
    <mergeCell ref="E26:F26"/>
    <mergeCell ref="G26:H26"/>
    <mergeCell ref="C23:D23"/>
    <mergeCell ref="E23:F23"/>
    <mergeCell ref="G23:H23"/>
    <mergeCell ref="C24:D24"/>
    <mergeCell ref="E24:F24"/>
    <mergeCell ref="G24:H24"/>
    <mergeCell ref="C21:D21"/>
    <mergeCell ref="E21:F21"/>
    <mergeCell ref="G21:H21"/>
    <mergeCell ref="C22:D22"/>
    <mergeCell ref="E22:F22"/>
    <mergeCell ref="G22:H22"/>
    <mergeCell ref="C19:D19"/>
    <mergeCell ref="E19:F19"/>
    <mergeCell ref="G19:H19"/>
    <mergeCell ref="C20:D20"/>
    <mergeCell ref="E20:F20"/>
    <mergeCell ref="G20:H20"/>
    <mergeCell ref="C17:D17"/>
    <mergeCell ref="E17:F17"/>
    <mergeCell ref="G17:H17"/>
    <mergeCell ref="C18:D18"/>
    <mergeCell ref="E18:F18"/>
    <mergeCell ref="G18:H18"/>
    <mergeCell ref="C15:D15"/>
    <mergeCell ref="E15:F15"/>
    <mergeCell ref="G15:H15"/>
    <mergeCell ref="C16:D16"/>
    <mergeCell ref="E16:F16"/>
    <mergeCell ref="G16:H16"/>
    <mergeCell ref="C13:D13"/>
    <mergeCell ref="E13:F13"/>
    <mergeCell ref="G13:H13"/>
    <mergeCell ref="C14:D14"/>
    <mergeCell ref="E14:F14"/>
    <mergeCell ref="G14:H14"/>
    <mergeCell ref="C11:D11"/>
    <mergeCell ref="E11:F11"/>
    <mergeCell ref="G11:H11"/>
    <mergeCell ref="C12:D12"/>
    <mergeCell ref="E12:F12"/>
    <mergeCell ref="G12:H12"/>
  </mergeCells>
  <conditionalFormatting sqref="C3:H3">
    <cfRule type="expression" dxfId="22" priority="8" stopIfTrue="1">
      <formula>DAY(C3)&gt;8</formula>
    </cfRule>
  </conditionalFormatting>
  <conditionalFormatting sqref="C7:I8">
    <cfRule type="expression" dxfId="21" priority="7" stopIfTrue="1">
      <formula>AND(DAY(C7)&gt;=1,DAY(C7)&lt;=15)</formula>
    </cfRule>
  </conditionalFormatting>
  <conditionalFormatting sqref="C3:I8">
    <cfRule type="expression" dxfId="20" priority="9">
      <formula>VLOOKUP(DAY(C3),AssignmentDays,1,FALSE)=DAY(C3)</formula>
    </cfRule>
  </conditionalFormatting>
  <conditionalFormatting sqref="B13:I13 B15:I15 B17:I17 B19:I19 B21:I21 B23:I23 B25:I25 B27:I27 B29:I29 B31:I31">
    <cfRule type="expression" dxfId="19" priority="6">
      <formula>B13&lt;&gt;""</formula>
    </cfRule>
  </conditionalFormatting>
  <conditionalFormatting sqref="B12:I12 B14:I14 B16:I16 B18:I18 B20:I20 B22:I22 B24:I24 B26:I26 B28:I28 B30:I30">
    <cfRule type="expression" dxfId="18" priority="5">
      <formula>B12&lt;&gt;""</formula>
    </cfRule>
  </conditionalFormatting>
  <conditionalFormatting sqref="B13:I13 B15:I15 B17:I17 B19:I19 B21:I21 B23:I23 B25:I25 B27:I27 B29:I29">
    <cfRule type="expression" dxfId="17" priority="2">
      <formula>COLUMN(B13)&gt;=2</formula>
    </cfRule>
    <cfRule type="expression" dxfId="16" priority="4">
      <formula>COLUMN(B11)&gt;2</formula>
    </cfRule>
  </conditionalFormatting>
  <conditionalFormatting sqref="B31:I31">
    <cfRule type="expression" dxfId="15" priority="3">
      <formula>COLUMN(B12)&gt;2</formula>
    </cfRule>
  </conditionalFormatting>
  <conditionalFormatting sqref="B12:I31">
    <cfRule type="expression" dxfId="14" priority="1">
      <formula>COLUMN(B12)&gt;2</formula>
    </cfRule>
  </conditionalFormatting>
  <dataValidations count="13">
    <dataValidation allowBlank="1" showInputMessage="1" showErrorMessage="1" prompt="El calendario de octubre resalta automáticamente las entradas de la lista de tareas para el mes. Las fuentes más oscuras indican tareas. Las fuentes más claras indican días que pertenecen al mes anterior o siguiente." sqref="B2" xr:uid="{00000000-0002-0000-0900-000000000000}"/>
    <dataValidation allowBlank="1" showInputMessage="1" showErrorMessage="1" prompt="El año se actualiza automáticamente. Para cambiar el año, actualice la celda B1 en la hoja de cálculo de Ene." sqref="B1" xr:uid="{00000000-0002-0000-0900-000001000000}"/>
    <dataValidation allowBlank="1" showInputMessage="1" showErrorMessage="1" prompt="Prepare una programación semanal y cree una lista de tareas en esta hoja de cálculo. Las tareas se resaltan automáticamente en el calendario mensual del año especificado en B1 de la hoja de cálculo de Ene." sqref="A1" xr:uid="{00000000-0002-0000-0900-000002000000}"/>
    <dataValidation allowBlank="1" showInputMessage="1" showErrorMessage="1" prompt="Las celdas C2 a I2 contienen días de la semana." sqref="C2" xr:uid="{00000000-0002-0000-0900-000003000000}"/>
    <dataValidation allowBlank="1" showInputMessage="1" showErrorMessage="1" prompt="Si esta celda no contiene el número 1, se trata de un día del mes anterior. Las celdas C3 a I8 contienen fechas para el mes actual." sqref="C3" xr:uid="{00000000-0002-0000-0900-000004000000}"/>
    <dataValidation allowBlank="1" showInputMessage="1" showErrorMessage="1" prompt="Si esta fila contiene un número menor que el número o la fila de números anterior, en ese caso, esta fila contiene fechas para el próximo mes del calendario." sqref="C8" xr:uid="{00000000-0002-0000-0900-000005000000}"/>
    <dataValidation allowBlank="1" showInputMessage="1" showErrorMessage="1" prompt="Escriba la hora en esta fila, de la columna B a la I." sqref="B12" xr:uid="{00000000-0002-0000-0900-000006000000}"/>
    <dataValidation allowBlank="1" showInputMessage="1" showErrorMessage="1" prompt="Escriba la clase en esta fila, de la columna B a la I." sqref="B13" xr:uid="{00000000-0002-0000-0900-000007000000}"/>
    <dataValidation allowBlank="1" showInputMessage="1" showErrorMessage="1" prompt="Los días de la semana se agrupan en esta columna con 6 filas para las tareas para cada día laborable agrupado del mes. Inserte las nuevas filas para agregar más tareas. El calendario a la izquierda resaltará elementos." sqref="J1" xr:uid="{00000000-0002-0000-0900-000008000000}"/>
    <dataValidation allowBlank="1" showInputMessage="1" showErrorMessage="1" prompt="Escriba en esta columna los detalles de la tarea correspondientes al día de la semana de la columna J y al día de la columna K del mes del calendario de la izquierda." sqref="L1" xr:uid="{00000000-0002-0000-0900-000009000000}"/>
    <dataValidation allowBlank="1" showInputMessage="1" showErrorMessage="1" prompt="Escriba en esta columna el día de la tarea del mes que corresponda al día de la semana de la columna J. Esta fecha resaltará la tarea en el calendario de la izquierda." sqref="K1" xr:uid="{00000000-0002-0000-0900-00000A000000}"/>
    <dataValidation allowBlank="1" showInputMessage="1" showErrorMessage="1" prompt="Los días de la semana se encuentran en esta fila, del lunes al viernes." sqref="B11" xr:uid="{00000000-0002-0000-0900-00000B000000}"/>
    <dataValidation allowBlank="1" showInputMessage="1" showErrorMessage="1" prompt="Escriba la hora de la clase y debajo, en una nueva fila, el nombre de clase para cada día de la semana en las columnas B a I. Repita este patrón para todas las clases en las filas posteriores." sqref="B10" xr:uid="{00000000-0002-0000-0900-00000C000000}"/>
  </dataValidations>
  <printOptions horizontalCentered="1" verticalCentered="1"/>
  <pageMargins left="0.5" right="0.5" top="0.5" bottom="0.5" header="0.3" footer="0.3"/>
  <pageSetup paperSize="9" scale="58" orientation="landscape" r:id="rId1"/>
  <headerFooter differentFirst="1">
    <oddFooter>Page &amp;P of &amp;N</oddFooter>
  </headerFooter>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4"/>
    <pageSetUpPr fitToPage="1"/>
  </sheetPr>
  <dimension ref="A1:L31"/>
  <sheetViews>
    <sheetView showGridLines="0" zoomScaleNormal="100" zoomScalePageLayoutView="84" workbookViewId="0"/>
  </sheetViews>
  <sheetFormatPr baseColWidth="10" defaultColWidth="8.625" defaultRowHeight="30" customHeight="1" x14ac:dyDescent="0.2"/>
  <cols>
    <col min="1" max="1" width="2.625" style="1" customWidth="1"/>
    <col min="2" max="2" width="20.625" style="17" customWidth="1"/>
    <col min="3" max="8" width="10.625" style="1" customWidth="1"/>
    <col min="9" max="9" width="20.625" style="1" customWidth="1"/>
    <col min="10" max="10" width="10.625" style="17" customWidth="1"/>
    <col min="11" max="11" width="10.625" style="2" customWidth="1"/>
    <col min="12" max="12" width="70.625" style="1" customWidth="1"/>
    <col min="13" max="13" width="2.625" customWidth="1"/>
  </cols>
  <sheetData>
    <row r="1" spans="1:12" ht="30" customHeight="1" x14ac:dyDescent="0.2">
      <c r="A1" s="17"/>
      <c r="B1" s="12">
        <f ca="1">AñoCalendario</f>
        <v>2018</v>
      </c>
      <c r="J1" s="19" t="s">
        <v>0</v>
      </c>
      <c r="K1" s="19" t="s">
        <v>14</v>
      </c>
      <c r="L1" s="11" t="s">
        <v>15</v>
      </c>
    </row>
    <row r="2" spans="1:12" ht="30" customHeight="1" x14ac:dyDescent="0.25">
      <c r="A2" s="13"/>
      <c r="B2" s="23" t="s">
        <v>27</v>
      </c>
      <c r="C2" s="7" t="s">
        <v>29</v>
      </c>
      <c r="D2" s="7" t="s">
        <v>30</v>
      </c>
      <c r="E2" s="7" t="s">
        <v>31</v>
      </c>
      <c r="F2" s="7" t="s">
        <v>32</v>
      </c>
      <c r="G2" s="7" t="s">
        <v>33</v>
      </c>
      <c r="H2" s="7" t="s">
        <v>34</v>
      </c>
      <c r="I2" s="7" t="s">
        <v>35</v>
      </c>
      <c r="J2" s="10" t="s">
        <v>29</v>
      </c>
      <c r="K2" s="42"/>
      <c r="L2" s="49"/>
    </row>
    <row r="3" spans="1:12" ht="30" customHeight="1" x14ac:dyDescent="0.25">
      <c r="A3" s="13"/>
      <c r="C3" s="6">
        <f ca="1">IF(DAY(NovDom1)=1,NovDom1-6,NovDom1+1)</f>
        <v>43402</v>
      </c>
      <c r="D3" s="6">
        <f ca="1">IF(DAY(NovDom1)=1,NovDom1-5,NovDom1+2)</f>
        <v>43403</v>
      </c>
      <c r="E3" s="6">
        <f ca="1">IF(DAY(NovDom1)=1,NovDom1-4,NovDom1+3)</f>
        <v>43404</v>
      </c>
      <c r="F3" s="6">
        <f ca="1">IF(DAY(NovDom1)=1,NovDom1-3,NovDom1+4)</f>
        <v>43405</v>
      </c>
      <c r="G3" s="6">
        <f ca="1">IF(DAY(NovDom1)=1,NovDom1-2,NovDom1+5)</f>
        <v>43406</v>
      </c>
      <c r="H3" s="6">
        <f ca="1">IF(DAY(NovDom1)=1,NovDom1-1,NovDom1+6)</f>
        <v>43407</v>
      </c>
      <c r="I3" s="6">
        <f ca="1">IF(DAY(NovDom1)=1,NovDom1,NovDom1+7)</f>
        <v>43408</v>
      </c>
      <c r="J3" s="10"/>
      <c r="K3" s="36"/>
      <c r="L3" s="49"/>
    </row>
    <row r="4" spans="1:12" ht="30" customHeight="1" x14ac:dyDescent="0.25">
      <c r="A4" s="13"/>
      <c r="C4" s="6">
        <f ca="1">IF(DAY(NovDom1)=1,NovDom1+1,NovDom1+8)</f>
        <v>43409</v>
      </c>
      <c r="D4" s="6">
        <f ca="1">IF(DAY(NovDom1)=1,NovDom1+2,NovDom1+9)</f>
        <v>43410</v>
      </c>
      <c r="E4" s="6">
        <f ca="1">IF(DAY(NovDom1)=1,NovDom1+3,NovDom1+10)</f>
        <v>43411</v>
      </c>
      <c r="F4" s="6">
        <f ca="1">IF(DAY(NovDom1)=1,NovDom1+4,NovDom1+11)</f>
        <v>43412</v>
      </c>
      <c r="G4" s="6">
        <f ca="1">IF(DAY(NovDom1)=1,NovDom1+5,NovDom1+12)</f>
        <v>43413</v>
      </c>
      <c r="H4" s="6">
        <f ca="1">IF(DAY(NovDom1)=1,NovDom1+6,NovDom1+13)</f>
        <v>43414</v>
      </c>
      <c r="I4" s="6">
        <f ca="1">IF(DAY(NovDom1)=1,NovDom1+7,NovDom1+14)</f>
        <v>43415</v>
      </c>
      <c r="J4" s="10"/>
      <c r="K4" s="36"/>
      <c r="L4" s="49"/>
    </row>
    <row r="5" spans="1:12" ht="30" customHeight="1" x14ac:dyDescent="0.25">
      <c r="A5" s="13"/>
      <c r="C5" s="6">
        <f ca="1">IF(DAY(NovDom1)=1,NovDom1+8,NovDom1+15)</f>
        <v>43416</v>
      </c>
      <c r="D5" s="6">
        <f ca="1">IF(DAY(NovDom1)=1,NovDom1+9,NovDom1+16)</f>
        <v>43417</v>
      </c>
      <c r="E5" s="6">
        <f ca="1">IF(DAY(NovDom1)=1,NovDom1+10,NovDom1+17)</f>
        <v>43418</v>
      </c>
      <c r="F5" s="6">
        <f ca="1">IF(DAY(NovDom1)=1,NovDom1+11,NovDom1+18)</f>
        <v>43419</v>
      </c>
      <c r="G5" s="6">
        <f ca="1">IF(DAY(NovDom1)=1,NovDom1+12,NovDom1+19)</f>
        <v>43420</v>
      </c>
      <c r="H5" s="6">
        <f ca="1">IF(DAY(NovDom1)=1,NovDom1+13,NovDom1+20)</f>
        <v>43421</v>
      </c>
      <c r="I5" s="6">
        <f ca="1">IF(DAY(NovDom1)=1,NovDom1+14,NovDom1+21)</f>
        <v>43422</v>
      </c>
      <c r="J5" s="10"/>
      <c r="K5" s="36"/>
      <c r="L5" s="49"/>
    </row>
    <row r="6" spans="1:12" ht="30" customHeight="1" x14ac:dyDescent="0.25">
      <c r="A6" s="13"/>
      <c r="C6" s="6">
        <f ca="1">IF(DAY(NovDom1)=1,NovDom1+15,NovDom1+22)</f>
        <v>43423</v>
      </c>
      <c r="D6" s="6">
        <f ca="1">IF(DAY(NovDom1)=1,NovDom1+16,NovDom1+23)</f>
        <v>43424</v>
      </c>
      <c r="E6" s="6">
        <f ca="1">IF(DAY(NovDom1)=1,NovDom1+17,NovDom1+24)</f>
        <v>43425</v>
      </c>
      <c r="F6" s="6">
        <f ca="1">IF(DAY(NovDom1)=1,NovDom1+18,NovDom1+25)</f>
        <v>43426</v>
      </c>
      <c r="G6" s="6">
        <f ca="1">IF(DAY(NovDom1)=1,NovDom1+19,NovDom1+26)</f>
        <v>43427</v>
      </c>
      <c r="H6" s="6">
        <f ca="1">IF(DAY(NovDom1)=1,NovDom1+20,NovDom1+27)</f>
        <v>43428</v>
      </c>
      <c r="I6" s="6">
        <f ca="1">IF(DAY(NovDom1)=1,NovDom1+21,NovDom1+28)</f>
        <v>43429</v>
      </c>
      <c r="J6" s="10"/>
      <c r="K6" s="36"/>
      <c r="L6" s="49"/>
    </row>
    <row r="7" spans="1:12" ht="30" customHeight="1" x14ac:dyDescent="0.25">
      <c r="A7" s="13"/>
      <c r="C7" s="6">
        <f ca="1">IF(DAY(NovDom1)=1,NovDom1+22,NovDom1+29)</f>
        <v>43430</v>
      </c>
      <c r="D7" s="6">
        <f ca="1">IF(DAY(NovDom1)=1,NovDom1+23,NovDom1+30)</f>
        <v>43431</v>
      </c>
      <c r="E7" s="6">
        <f ca="1">IF(DAY(NovDom1)=1,NovDom1+24,NovDom1+31)</f>
        <v>43432</v>
      </c>
      <c r="F7" s="6">
        <f ca="1">IF(DAY(NovDom1)=1,NovDom1+25,NovDom1+32)</f>
        <v>43433</v>
      </c>
      <c r="G7" s="6">
        <f ca="1">IF(DAY(NovDom1)=1,NovDom1+26,NovDom1+33)</f>
        <v>43434</v>
      </c>
      <c r="H7" s="6">
        <f ca="1">IF(DAY(NovDom1)=1,NovDom1+27,NovDom1+34)</f>
        <v>43435</v>
      </c>
      <c r="I7" s="6">
        <f ca="1">IF(DAY(NovDom1)=1,NovDom1+28,NovDom1+35)</f>
        <v>43436</v>
      </c>
      <c r="J7" s="20"/>
      <c r="K7" s="35"/>
      <c r="L7" s="18"/>
    </row>
    <row r="8" spans="1:12" ht="30" customHeight="1" x14ac:dyDescent="0.25">
      <c r="A8" s="13"/>
      <c r="B8" s="18"/>
      <c r="C8" s="6">
        <f ca="1">IF(DAY(NovDom1)=1,NovDom1+29,NovDom1+36)</f>
        <v>43437</v>
      </c>
      <c r="D8" s="6">
        <f ca="1">IF(DAY(NovDom1)=1,NovDom1+30,NovDom1+37)</f>
        <v>43438</v>
      </c>
      <c r="E8" s="6">
        <f ca="1">IF(DAY(NovDom1)=1,NovDom1+31,NovDom1+38)</f>
        <v>43439</v>
      </c>
      <c r="F8" s="6">
        <f ca="1">IF(DAY(NovDom1)=1,NovDom1+32,NovDom1+39)</f>
        <v>43440</v>
      </c>
      <c r="G8" s="6">
        <f ca="1">IF(DAY(NovDom1)=1,NovDom1+33,NovDom1+40)</f>
        <v>43441</v>
      </c>
      <c r="H8" s="6">
        <f ca="1">IF(DAY(NovDom1)=1,NovDom1+34,NovDom1+41)</f>
        <v>43442</v>
      </c>
      <c r="I8" s="6">
        <f ca="1">IF(DAY(NovDom1)=1,NovDom1+35,NovDom1+42)</f>
        <v>43443</v>
      </c>
      <c r="J8" s="10" t="s">
        <v>30</v>
      </c>
      <c r="K8" s="37"/>
      <c r="L8" s="49"/>
    </row>
    <row r="9" spans="1:12" ht="30" customHeight="1" x14ac:dyDescent="0.25">
      <c r="A9" s="13"/>
      <c r="C9" s="4"/>
      <c r="D9" s="4"/>
      <c r="E9" s="4"/>
      <c r="F9" s="4"/>
      <c r="G9" s="4"/>
      <c r="H9" s="4"/>
      <c r="I9" s="4"/>
      <c r="J9" s="10"/>
      <c r="K9" s="36"/>
      <c r="L9" s="49"/>
    </row>
    <row r="10" spans="1:12" ht="30" customHeight="1" x14ac:dyDescent="0.25">
      <c r="A10" s="13"/>
      <c r="B10" s="16" t="s">
        <v>4</v>
      </c>
      <c r="C10" s="9"/>
      <c r="D10" s="9"/>
      <c r="E10" s="9"/>
      <c r="F10" s="9"/>
      <c r="G10" s="9"/>
      <c r="H10" s="9"/>
      <c r="I10" s="9"/>
      <c r="J10" s="10"/>
      <c r="K10" s="36"/>
      <c r="L10" s="49"/>
    </row>
    <row r="11" spans="1:12" ht="30" customHeight="1" x14ac:dyDescent="0.25">
      <c r="A11" s="26" t="s">
        <v>0</v>
      </c>
      <c r="B11" s="25" t="s">
        <v>29</v>
      </c>
      <c r="C11" s="67" t="s">
        <v>30</v>
      </c>
      <c r="D11" s="68"/>
      <c r="E11" s="67" t="s">
        <v>31</v>
      </c>
      <c r="F11" s="68"/>
      <c r="G11" s="67" t="s">
        <v>32</v>
      </c>
      <c r="H11" s="68"/>
      <c r="I11" s="3" t="s">
        <v>33</v>
      </c>
      <c r="J11" s="10"/>
      <c r="K11" s="36"/>
      <c r="L11" s="49"/>
    </row>
    <row r="12" spans="1:12" ht="30" customHeight="1" x14ac:dyDescent="0.25">
      <c r="A12" s="26" t="s">
        <v>1</v>
      </c>
      <c r="B12" s="21">
        <v>0.33333333333333331</v>
      </c>
      <c r="C12" s="76"/>
      <c r="D12" s="76"/>
      <c r="E12" s="76">
        <v>0.33333333333333331</v>
      </c>
      <c r="F12" s="76"/>
      <c r="G12" s="76"/>
      <c r="H12" s="76"/>
      <c r="I12" s="22">
        <v>0.33333333333333331</v>
      </c>
      <c r="J12" s="10"/>
      <c r="K12" s="36"/>
      <c r="L12" s="49"/>
    </row>
    <row r="13" spans="1:12" ht="30" customHeight="1" x14ac:dyDescent="0.25">
      <c r="A13" s="26" t="s">
        <v>2</v>
      </c>
      <c r="B13" s="27" t="s">
        <v>5</v>
      </c>
      <c r="C13" s="70"/>
      <c r="D13" s="70"/>
      <c r="E13" s="70" t="s">
        <v>5</v>
      </c>
      <c r="F13" s="70"/>
      <c r="G13" s="70"/>
      <c r="H13" s="70"/>
      <c r="I13" s="30" t="s">
        <v>5</v>
      </c>
      <c r="J13" s="20"/>
      <c r="K13" s="35"/>
      <c r="L13" s="18"/>
    </row>
    <row r="14" spans="1:12" ht="30" customHeight="1" x14ac:dyDescent="0.25">
      <c r="A14" s="26" t="s">
        <v>1</v>
      </c>
      <c r="B14" s="21"/>
      <c r="C14" s="76">
        <v>0.375</v>
      </c>
      <c r="D14" s="76"/>
      <c r="E14" s="76"/>
      <c r="F14" s="76"/>
      <c r="G14" s="76">
        <v>0.375</v>
      </c>
      <c r="H14" s="76"/>
      <c r="I14" s="22"/>
      <c r="J14" s="10" t="s">
        <v>31</v>
      </c>
      <c r="K14" s="37"/>
      <c r="L14" s="49"/>
    </row>
    <row r="15" spans="1:12" ht="30" customHeight="1" x14ac:dyDescent="0.25">
      <c r="A15" s="26" t="s">
        <v>2</v>
      </c>
      <c r="B15" s="27"/>
      <c r="C15" s="70" t="s">
        <v>11</v>
      </c>
      <c r="D15" s="70"/>
      <c r="E15" s="70"/>
      <c r="F15" s="70"/>
      <c r="G15" s="70" t="s">
        <v>11</v>
      </c>
      <c r="H15" s="70"/>
      <c r="I15" s="30"/>
      <c r="J15" s="10"/>
      <c r="K15" s="36"/>
      <c r="L15" s="49"/>
    </row>
    <row r="16" spans="1:12" ht="30" customHeight="1" x14ac:dyDescent="0.25">
      <c r="A16" s="26" t="s">
        <v>1</v>
      </c>
      <c r="B16" s="21" t="s">
        <v>6</v>
      </c>
      <c r="C16" s="76"/>
      <c r="D16" s="76"/>
      <c r="E16" s="76" t="s">
        <v>6</v>
      </c>
      <c r="F16" s="76"/>
      <c r="G16" s="76"/>
      <c r="H16" s="76"/>
      <c r="I16" s="24" t="s">
        <v>6</v>
      </c>
      <c r="J16" s="10"/>
      <c r="K16" s="36"/>
      <c r="L16" s="49"/>
    </row>
    <row r="17" spans="1:12" ht="30" customHeight="1" x14ac:dyDescent="0.25">
      <c r="A17" s="26" t="s">
        <v>2</v>
      </c>
      <c r="B17" s="27" t="s">
        <v>7</v>
      </c>
      <c r="C17" s="70"/>
      <c r="D17" s="70"/>
      <c r="E17" s="70" t="s">
        <v>7</v>
      </c>
      <c r="F17" s="70"/>
      <c r="G17" s="70"/>
      <c r="H17" s="70"/>
      <c r="I17" s="30" t="s">
        <v>7</v>
      </c>
      <c r="J17" s="10"/>
      <c r="K17" s="36"/>
      <c r="L17" s="49"/>
    </row>
    <row r="18" spans="1:12" ht="30" customHeight="1" x14ac:dyDescent="0.25">
      <c r="A18" s="26" t="s">
        <v>1</v>
      </c>
      <c r="B18" s="21"/>
      <c r="C18" s="76"/>
      <c r="D18" s="76"/>
      <c r="E18" s="76"/>
      <c r="F18" s="76"/>
      <c r="G18" s="76"/>
      <c r="H18" s="76"/>
      <c r="I18" s="22"/>
      <c r="J18" s="10"/>
      <c r="K18" s="36"/>
      <c r="L18" s="49"/>
    </row>
    <row r="19" spans="1:12" ht="30" customHeight="1" x14ac:dyDescent="0.25">
      <c r="A19" s="26" t="s">
        <v>2</v>
      </c>
      <c r="B19" s="27"/>
      <c r="C19" s="70"/>
      <c r="D19" s="70"/>
      <c r="E19" s="70"/>
      <c r="F19" s="70"/>
      <c r="G19" s="70"/>
      <c r="H19" s="70"/>
      <c r="I19" s="47"/>
      <c r="J19" s="20"/>
      <c r="K19" s="35"/>
      <c r="L19" s="50"/>
    </row>
    <row r="20" spans="1:12" ht="30" customHeight="1" x14ac:dyDescent="0.25">
      <c r="A20" s="26" t="s">
        <v>1</v>
      </c>
      <c r="B20" s="21"/>
      <c r="C20" s="76"/>
      <c r="D20" s="76"/>
      <c r="E20" s="76"/>
      <c r="F20" s="76"/>
      <c r="G20" s="76"/>
      <c r="H20" s="76"/>
      <c r="I20" s="22"/>
      <c r="J20" s="10" t="s">
        <v>32</v>
      </c>
      <c r="K20" s="37"/>
      <c r="L20" s="49"/>
    </row>
    <row r="21" spans="1:12" ht="30" customHeight="1" x14ac:dyDescent="0.25">
      <c r="A21" s="26" t="s">
        <v>2</v>
      </c>
      <c r="B21" s="27"/>
      <c r="C21" s="70"/>
      <c r="D21" s="70"/>
      <c r="E21" s="70"/>
      <c r="F21" s="70"/>
      <c r="G21" s="70"/>
      <c r="H21" s="70"/>
      <c r="I21" s="30"/>
      <c r="J21" s="10"/>
      <c r="K21" s="36"/>
      <c r="L21" s="49"/>
    </row>
    <row r="22" spans="1:12" ht="30" customHeight="1" x14ac:dyDescent="0.25">
      <c r="A22" s="26" t="s">
        <v>1</v>
      </c>
      <c r="B22" s="21"/>
      <c r="C22" s="76"/>
      <c r="D22" s="76"/>
      <c r="E22" s="76"/>
      <c r="F22" s="76"/>
      <c r="G22" s="76"/>
      <c r="H22" s="76"/>
      <c r="I22" s="22"/>
      <c r="J22" s="10"/>
      <c r="K22" s="36"/>
      <c r="L22" s="49"/>
    </row>
    <row r="23" spans="1:12" ht="30" customHeight="1" x14ac:dyDescent="0.25">
      <c r="A23" s="26" t="s">
        <v>2</v>
      </c>
      <c r="B23" s="27"/>
      <c r="C23" s="70"/>
      <c r="D23" s="70"/>
      <c r="E23" s="70"/>
      <c r="F23" s="70"/>
      <c r="G23" s="70"/>
      <c r="H23" s="70"/>
      <c r="I23" s="30"/>
      <c r="J23" s="10"/>
      <c r="K23" s="36"/>
      <c r="L23" s="49"/>
    </row>
    <row r="24" spans="1:12" ht="30" customHeight="1" x14ac:dyDescent="0.25">
      <c r="A24" s="26" t="s">
        <v>1</v>
      </c>
      <c r="B24" s="21" t="s">
        <v>8</v>
      </c>
      <c r="C24" s="76"/>
      <c r="D24" s="76"/>
      <c r="E24" s="76" t="s">
        <v>8</v>
      </c>
      <c r="F24" s="76"/>
      <c r="G24" s="76"/>
      <c r="H24" s="76"/>
      <c r="I24" s="22" t="s">
        <v>8</v>
      </c>
      <c r="J24" s="10"/>
      <c r="K24" s="36"/>
      <c r="L24" s="49"/>
    </row>
    <row r="25" spans="1:12" ht="30" customHeight="1" x14ac:dyDescent="0.25">
      <c r="A25" s="26" t="s">
        <v>2</v>
      </c>
      <c r="B25" s="27" t="s">
        <v>9</v>
      </c>
      <c r="C25" s="70"/>
      <c r="D25" s="70"/>
      <c r="E25" s="70" t="s">
        <v>9</v>
      </c>
      <c r="F25" s="70"/>
      <c r="G25" s="70"/>
      <c r="H25" s="70"/>
      <c r="I25" s="30" t="s">
        <v>9</v>
      </c>
      <c r="J25" s="20"/>
      <c r="K25" s="35"/>
      <c r="L25" s="50"/>
    </row>
    <row r="26" spans="1:12" ht="30" customHeight="1" x14ac:dyDescent="0.25">
      <c r="A26" s="26" t="s">
        <v>1</v>
      </c>
      <c r="B26" s="21"/>
      <c r="C26" s="76"/>
      <c r="D26" s="76"/>
      <c r="E26" s="76"/>
      <c r="F26" s="76"/>
      <c r="G26" s="76"/>
      <c r="H26" s="76"/>
      <c r="I26" s="22"/>
      <c r="J26" s="10" t="s">
        <v>33</v>
      </c>
      <c r="K26" s="37"/>
      <c r="L26" s="49"/>
    </row>
    <row r="27" spans="1:12" ht="30" customHeight="1" x14ac:dyDescent="0.25">
      <c r="A27" s="26" t="s">
        <v>2</v>
      </c>
      <c r="B27" s="27"/>
      <c r="C27" s="70"/>
      <c r="D27" s="70"/>
      <c r="E27" s="70"/>
      <c r="F27" s="70"/>
      <c r="G27" s="70"/>
      <c r="H27" s="70"/>
      <c r="I27" s="30"/>
      <c r="J27" s="10"/>
      <c r="K27" s="36"/>
      <c r="L27" s="49"/>
    </row>
    <row r="28" spans="1:12" ht="30" customHeight="1" x14ac:dyDescent="0.25">
      <c r="A28" s="26" t="s">
        <v>1</v>
      </c>
      <c r="B28" s="21"/>
      <c r="C28" s="76" t="s">
        <v>12</v>
      </c>
      <c r="D28" s="76"/>
      <c r="E28" s="76"/>
      <c r="F28" s="76"/>
      <c r="G28" s="76" t="s">
        <v>12</v>
      </c>
      <c r="H28" s="76"/>
      <c r="I28" s="22"/>
      <c r="J28" s="10"/>
      <c r="K28" s="36"/>
      <c r="L28" s="49"/>
    </row>
    <row r="29" spans="1:12" ht="30" customHeight="1" x14ac:dyDescent="0.25">
      <c r="A29" s="26" t="s">
        <v>2</v>
      </c>
      <c r="B29" s="27"/>
      <c r="C29" s="70" t="s">
        <v>13</v>
      </c>
      <c r="D29" s="70"/>
      <c r="E29" s="70"/>
      <c r="F29" s="70"/>
      <c r="G29" s="70" t="s">
        <v>13</v>
      </c>
      <c r="H29" s="70"/>
      <c r="I29" s="30"/>
      <c r="J29" s="10"/>
      <c r="K29" s="36"/>
      <c r="L29" s="49"/>
    </row>
    <row r="30" spans="1:12" ht="30" customHeight="1" x14ac:dyDescent="0.25">
      <c r="A30" s="26" t="s">
        <v>1</v>
      </c>
      <c r="B30" s="21"/>
      <c r="C30" s="76"/>
      <c r="D30" s="76"/>
      <c r="E30" s="76"/>
      <c r="F30" s="76"/>
      <c r="G30" s="76"/>
      <c r="H30" s="76"/>
      <c r="I30" s="22"/>
      <c r="J30" s="10"/>
      <c r="K30" s="36"/>
      <c r="L30" s="49"/>
    </row>
    <row r="31" spans="1:12" ht="30" customHeight="1" x14ac:dyDescent="0.25">
      <c r="A31" s="26" t="s">
        <v>2</v>
      </c>
      <c r="B31" s="28"/>
      <c r="C31" s="72"/>
      <c r="D31" s="72"/>
      <c r="E31" s="72"/>
      <c r="F31" s="72"/>
      <c r="G31" s="72"/>
      <c r="H31" s="72"/>
      <c r="I31" s="40"/>
      <c r="J31" s="10"/>
      <c r="K31" s="42"/>
      <c r="L31" s="51"/>
    </row>
  </sheetData>
  <mergeCells count="63">
    <mergeCell ref="C31:D31"/>
    <mergeCell ref="E31:F31"/>
    <mergeCell ref="G31:H31"/>
    <mergeCell ref="C29:D29"/>
    <mergeCell ref="E29:F29"/>
    <mergeCell ref="G29:H29"/>
    <mergeCell ref="C30:D30"/>
    <mergeCell ref="E30:F30"/>
    <mergeCell ref="G30:H30"/>
    <mergeCell ref="C27:D27"/>
    <mergeCell ref="E27:F27"/>
    <mergeCell ref="G27:H27"/>
    <mergeCell ref="C28:D28"/>
    <mergeCell ref="E28:F28"/>
    <mergeCell ref="G28:H28"/>
    <mergeCell ref="C25:D25"/>
    <mergeCell ref="E25:F25"/>
    <mergeCell ref="G25:H25"/>
    <mergeCell ref="C26:D26"/>
    <mergeCell ref="E26:F26"/>
    <mergeCell ref="G26:H26"/>
    <mergeCell ref="C23:D23"/>
    <mergeCell ref="E23:F23"/>
    <mergeCell ref="G23:H23"/>
    <mergeCell ref="C24:D24"/>
    <mergeCell ref="E24:F24"/>
    <mergeCell ref="G24:H24"/>
    <mergeCell ref="C21:D21"/>
    <mergeCell ref="E21:F21"/>
    <mergeCell ref="G21:H21"/>
    <mergeCell ref="C22:D22"/>
    <mergeCell ref="E22:F22"/>
    <mergeCell ref="G22:H22"/>
    <mergeCell ref="C19:D19"/>
    <mergeCell ref="E19:F19"/>
    <mergeCell ref="G19:H19"/>
    <mergeCell ref="C20:D20"/>
    <mergeCell ref="E20:F20"/>
    <mergeCell ref="G20:H20"/>
    <mergeCell ref="C17:D17"/>
    <mergeCell ref="E17:F17"/>
    <mergeCell ref="G17:H17"/>
    <mergeCell ref="C18:D18"/>
    <mergeCell ref="E18:F18"/>
    <mergeCell ref="G18:H18"/>
    <mergeCell ref="C15:D15"/>
    <mergeCell ref="E15:F15"/>
    <mergeCell ref="G15:H15"/>
    <mergeCell ref="C16:D16"/>
    <mergeCell ref="E16:F16"/>
    <mergeCell ref="G16:H16"/>
    <mergeCell ref="C13:D13"/>
    <mergeCell ref="E13:F13"/>
    <mergeCell ref="G13:H13"/>
    <mergeCell ref="C14:D14"/>
    <mergeCell ref="E14:F14"/>
    <mergeCell ref="G14:H14"/>
    <mergeCell ref="C11:D11"/>
    <mergeCell ref="E11:F11"/>
    <mergeCell ref="G11:H11"/>
    <mergeCell ref="C12:D12"/>
    <mergeCell ref="E12:F12"/>
    <mergeCell ref="G12:H12"/>
  </mergeCells>
  <conditionalFormatting sqref="C3:H3">
    <cfRule type="expression" dxfId="13" priority="6" stopIfTrue="1">
      <formula>DAY(C3)&gt;8</formula>
    </cfRule>
  </conditionalFormatting>
  <conditionalFormatting sqref="C7:I8">
    <cfRule type="expression" dxfId="12" priority="5" stopIfTrue="1">
      <formula>AND(DAY(C7)&gt;=1,DAY(C7)&lt;=15)</formula>
    </cfRule>
  </conditionalFormatting>
  <conditionalFormatting sqref="C3:I8">
    <cfRule type="expression" dxfId="11" priority="7">
      <formula>VLOOKUP(DAY(C3),AssignmentDays,1,FALSE)=DAY(C3)</formula>
    </cfRule>
  </conditionalFormatting>
  <conditionalFormatting sqref="B13:I13 B15:I15 B17:I17 B19:I19 B21:I21 B23:I23 B25:I25 B27:I27 B29:I29 B31:I31">
    <cfRule type="expression" dxfId="10" priority="4">
      <formula>B13&lt;&gt;""</formula>
    </cfRule>
  </conditionalFormatting>
  <conditionalFormatting sqref="B12:I12 B14:I14 B16:I16 B18:I18 B20:I20 B22:I22 B24:I24 B26:I26 B28:I28 B30:I30">
    <cfRule type="expression" dxfId="9" priority="3">
      <formula>B12&lt;&gt;""</formula>
    </cfRule>
  </conditionalFormatting>
  <conditionalFormatting sqref="B13:I13 B15:I15 B17:I17 B19:I19 B21:I21 B23:I23 B25:I25 B27:I27 B29:I29">
    <cfRule type="expression" dxfId="8" priority="2">
      <formula>COLUMN(B13)&gt;=2</formula>
    </cfRule>
  </conditionalFormatting>
  <conditionalFormatting sqref="B12:I31">
    <cfRule type="expression" dxfId="7" priority="1">
      <formula>COLUMN(B12)&gt;2</formula>
    </cfRule>
  </conditionalFormatting>
  <dataValidations xWindow="136" yWindow="382" count="13">
    <dataValidation allowBlank="1" showInputMessage="1" showErrorMessage="1" prompt="Escriba la clase en esta fila, de la columna B a la I." sqref="B13" xr:uid="{00000000-0002-0000-0A00-000000000000}"/>
    <dataValidation allowBlank="1" showInputMessage="1" showErrorMessage="1" prompt="Escriba la hora en esta fila, de la columna B a la I." sqref="B12" xr:uid="{00000000-0002-0000-0A00-000001000000}"/>
    <dataValidation allowBlank="1" showInputMessage="1" showErrorMessage="1" prompt="Si esta fila contiene un número menor que el número o la fila de números anterior, en ese caso, esta fila contiene fechas para el próximo mes del calendario." sqref="C8" xr:uid="{00000000-0002-0000-0A00-000002000000}"/>
    <dataValidation allowBlank="1" showInputMessage="1" showErrorMessage="1" prompt="Si esta celda no contiene el número 1, se trata de un día del mes anterior. Las celdas C3 a I8 contienen fechas para el mes actual." sqref="C3" xr:uid="{00000000-0002-0000-0A00-000003000000}"/>
    <dataValidation allowBlank="1" showInputMessage="1" showErrorMessage="1" prompt="Las celdas C2 a I2 contienen días de la semana." sqref="C2" xr:uid="{00000000-0002-0000-0A00-000004000000}"/>
    <dataValidation allowBlank="1" showInputMessage="1" showErrorMessage="1" prompt="Prepare una programación semanal y cree una lista de tareas en esta hoja de cálculo. Las tareas se resaltan automáticamente en el calendario mensual del año especificado en B1 de la hoja de cálculo de Ene." sqref="A1" xr:uid="{00000000-0002-0000-0A00-000005000000}"/>
    <dataValidation allowBlank="1" showInputMessage="1" showErrorMessage="1" prompt="El año se actualiza automáticamente. Para cambiar el año, actualice la celda B1 en la hoja de cálculo de Ene." sqref="B1" xr:uid="{00000000-0002-0000-0A00-000006000000}"/>
    <dataValidation allowBlank="1" showInputMessage="1" showErrorMessage="1" prompt="El calendario de noviembre resalta automáticamente las entradas de la lista de tareas para el mes. Las fuentes más oscuras indican tareas. Las fuentes más claras indican días que pertenecen al mes anterior o siguiente." sqref="B2" xr:uid="{00000000-0002-0000-0A00-000007000000}"/>
    <dataValidation allowBlank="1" showInputMessage="1" showErrorMessage="1" prompt="Los días de la semana se agrupan en esta columna con 6 filas para las tareas para cada día laborable agrupado del mes. Inserte las nuevas filas para agregar más tareas. El calendario a la izquierda resaltará elementos." sqref="J1" xr:uid="{00000000-0002-0000-0A00-000008000000}"/>
    <dataValidation allowBlank="1" showInputMessage="1" showErrorMessage="1" prompt="Escriba en esta columna los detalles de la tarea correspondientes al día de la semana de la columna J y al día de la columna K del mes del calendario de la izquierda." sqref="L1" xr:uid="{00000000-0002-0000-0A00-000009000000}"/>
    <dataValidation allowBlank="1" showInputMessage="1" showErrorMessage="1" prompt="Escriba en esta columna el día de la tarea del mes que corresponda al día de la semana de la columna J. Esta fecha resaltará la tarea en el calendario de la izquierda." sqref="K1" xr:uid="{00000000-0002-0000-0A00-00000A000000}"/>
    <dataValidation allowBlank="1" showInputMessage="1" showErrorMessage="1" prompt="Los días de la semana se encuentran en esta fila, del lunes al viernes." sqref="B11" xr:uid="{00000000-0002-0000-0A00-00000B000000}"/>
    <dataValidation allowBlank="1" showInputMessage="1" showErrorMessage="1" prompt="Escriba la hora de la clase y debajo, en una nueva fila, el nombre de clase para cada día de la semana en las columnas B a I. Repita este patrón para todas las clases en las filas posteriores." sqref="B10" xr:uid="{00000000-0002-0000-0A00-00000C000000}"/>
  </dataValidations>
  <printOptions horizontalCentered="1" verticalCentered="1"/>
  <pageMargins left="0.5" right="0.5" top="0.5" bottom="0.5" header="0.3" footer="0.3"/>
  <pageSetup paperSize="9" scale="58" orientation="landscape" r:id="rId1"/>
  <headerFooter differentFirst="1">
    <oddFooter>Page &amp;P of &amp;N</oddFooter>
  </headerFooter>
  <tableParts count="1">
    <tablePart r:id="rId2"/>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4"/>
    <pageSetUpPr fitToPage="1"/>
  </sheetPr>
  <dimension ref="A1:L31"/>
  <sheetViews>
    <sheetView showGridLines="0" zoomScaleNormal="100" zoomScalePageLayoutView="84" workbookViewId="0"/>
  </sheetViews>
  <sheetFormatPr baseColWidth="10" defaultColWidth="8.625" defaultRowHeight="30" customHeight="1" x14ac:dyDescent="0.2"/>
  <cols>
    <col min="1" max="1" width="2.625" style="1" customWidth="1"/>
    <col min="2" max="2" width="20.625" style="17" customWidth="1"/>
    <col min="3" max="8" width="10.625" style="1" customWidth="1"/>
    <col min="9" max="9" width="20.625" style="1" customWidth="1"/>
    <col min="10" max="10" width="10.625" style="17" customWidth="1"/>
    <col min="11" max="11" width="10.625" style="2" customWidth="1"/>
    <col min="12" max="12" width="70.625" style="1" customWidth="1"/>
    <col min="13" max="13" width="2.625" customWidth="1"/>
  </cols>
  <sheetData>
    <row r="1" spans="1:12" ht="30" customHeight="1" x14ac:dyDescent="0.2">
      <c r="A1" s="17"/>
      <c r="B1" s="12">
        <f ca="1">AñoCalendario</f>
        <v>2018</v>
      </c>
      <c r="J1" s="19" t="s">
        <v>0</v>
      </c>
      <c r="K1" s="19" t="s">
        <v>14</v>
      </c>
      <c r="L1" s="11" t="s">
        <v>15</v>
      </c>
    </row>
    <row r="2" spans="1:12" ht="30" customHeight="1" x14ac:dyDescent="0.25">
      <c r="A2" s="13"/>
      <c r="B2" s="23" t="s">
        <v>28</v>
      </c>
      <c r="C2" s="7" t="s">
        <v>29</v>
      </c>
      <c r="D2" s="7" t="s">
        <v>30</v>
      </c>
      <c r="E2" s="7" t="s">
        <v>31</v>
      </c>
      <c r="F2" s="7" t="s">
        <v>32</v>
      </c>
      <c r="G2" s="7" t="s">
        <v>33</v>
      </c>
      <c r="H2" s="7" t="s">
        <v>34</v>
      </c>
      <c r="I2" s="7" t="s">
        <v>35</v>
      </c>
      <c r="J2" s="10" t="s">
        <v>29</v>
      </c>
      <c r="K2" s="42"/>
      <c r="L2" s="49"/>
    </row>
    <row r="3" spans="1:12" ht="30" customHeight="1" x14ac:dyDescent="0.25">
      <c r="A3" s="13"/>
      <c r="C3" s="6">
        <f ca="1">IF(DAY(DecDom1)=1,DecDom1-6,DecDom1+1)</f>
        <v>43430</v>
      </c>
      <c r="D3" s="6">
        <f ca="1">IF(DAY(DecDom1)=1,DecDom1-5,DecDom1+2)</f>
        <v>43431</v>
      </c>
      <c r="E3" s="6">
        <f ca="1">IF(DAY(DecDom1)=1,DecDom1-4,DecDom1+3)</f>
        <v>43432</v>
      </c>
      <c r="F3" s="6">
        <f ca="1">IF(DAY(DecDom1)=1,DecDom1-3,DecDom1+4)</f>
        <v>43433</v>
      </c>
      <c r="G3" s="6">
        <f ca="1">IF(DAY(DecDom1)=1,DecDom1-2,DecDom1+5)</f>
        <v>43434</v>
      </c>
      <c r="H3" s="6">
        <f ca="1">IF(DAY(DecDom1)=1,DecDom1-1,DecDom1+6)</f>
        <v>43435</v>
      </c>
      <c r="I3" s="6">
        <f ca="1">IF(DAY(DecDom1)=1,DecDom1,DecDom1+7)</f>
        <v>43436</v>
      </c>
      <c r="J3" s="10"/>
      <c r="K3" s="36"/>
      <c r="L3" s="49"/>
    </row>
    <row r="4" spans="1:12" ht="30" customHeight="1" x14ac:dyDescent="0.25">
      <c r="A4" s="13"/>
      <c r="C4" s="6">
        <f ca="1">IF(DAY(DecDom1)=1,DecDom1+1,DecDom1+8)</f>
        <v>43437</v>
      </c>
      <c r="D4" s="6">
        <f ca="1">IF(DAY(DecDom1)=1,DecDom1+2,DecDom1+9)</f>
        <v>43438</v>
      </c>
      <c r="E4" s="6">
        <f ca="1">IF(DAY(DecDom1)=1,DecDom1+3,DecDom1+10)</f>
        <v>43439</v>
      </c>
      <c r="F4" s="6">
        <f ca="1">IF(DAY(DecDom1)=1,DecDom1+4,DecDom1+11)</f>
        <v>43440</v>
      </c>
      <c r="G4" s="6">
        <f ca="1">IF(DAY(DecDom1)=1,DecDom1+5,DecDom1+12)</f>
        <v>43441</v>
      </c>
      <c r="H4" s="6">
        <f ca="1">IF(DAY(DecDom1)=1,DecDom1+6,DecDom1+13)</f>
        <v>43442</v>
      </c>
      <c r="I4" s="6">
        <f ca="1">IF(DAY(DecDom1)=1,DecDom1+7,DecDom1+14)</f>
        <v>43443</v>
      </c>
      <c r="J4" s="10"/>
      <c r="K4" s="36"/>
      <c r="L4" s="49"/>
    </row>
    <row r="5" spans="1:12" ht="30" customHeight="1" x14ac:dyDescent="0.25">
      <c r="A5" s="13"/>
      <c r="C5" s="6">
        <f ca="1">IF(DAY(DecDom1)=1,DecDom1+8,DecDom1+15)</f>
        <v>43444</v>
      </c>
      <c r="D5" s="6">
        <f ca="1">IF(DAY(DecDom1)=1,DecDom1+9,DecDom1+16)</f>
        <v>43445</v>
      </c>
      <c r="E5" s="6">
        <f ca="1">IF(DAY(DecDom1)=1,DecDom1+10,DecDom1+17)</f>
        <v>43446</v>
      </c>
      <c r="F5" s="6">
        <f ca="1">IF(DAY(DecDom1)=1,DecDom1+11,DecDom1+18)</f>
        <v>43447</v>
      </c>
      <c r="G5" s="6">
        <f ca="1">IF(DAY(DecDom1)=1,DecDom1+12,DecDom1+19)</f>
        <v>43448</v>
      </c>
      <c r="H5" s="6">
        <f ca="1">IF(DAY(DecDom1)=1,DecDom1+13,DecDom1+20)</f>
        <v>43449</v>
      </c>
      <c r="I5" s="6">
        <f ca="1">IF(DAY(DecDom1)=1,DecDom1+14,DecDom1+21)</f>
        <v>43450</v>
      </c>
      <c r="J5" s="10"/>
      <c r="K5" s="36"/>
      <c r="L5" s="49"/>
    </row>
    <row r="6" spans="1:12" ht="30" customHeight="1" x14ac:dyDescent="0.25">
      <c r="A6" s="13"/>
      <c r="C6" s="6">
        <f ca="1">IF(DAY(DecDom1)=1,DecDom1+15,DecDom1+22)</f>
        <v>43451</v>
      </c>
      <c r="D6" s="6">
        <f ca="1">IF(DAY(DecDom1)=1,DecDom1+16,DecDom1+23)</f>
        <v>43452</v>
      </c>
      <c r="E6" s="6">
        <f ca="1">IF(DAY(DecDom1)=1,DecDom1+17,DecDom1+24)</f>
        <v>43453</v>
      </c>
      <c r="F6" s="6">
        <f ca="1">IF(DAY(DecDom1)=1,DecDom1+18,DecDom1+25)</f>
        <v>43454</v>
      </c>
      <c r="G6" s="6">
        <f ca="1">IF(DAY(DecDom1)=1,DecDom1+19,DecDom1+26)</f>
        <v>43455</v>
      </c>
      <c r="H6" s="6">
        <f ca="1">IF(DAY(DecDom1)=1,DecDom1+20,DecDom1+27)</f>
        <v>43456</v>
      </c>
      <c r="I6" s="6">
        <f ca="1">IF(DAY(DecDom1)=1,DecDom1+21,DecDom1+28)</f>
        <v>43457</v>
      </c>
      <c r="J6" s="10"/>
      <c r="K6" s="36"/>
      <c r="L6" s="49"/>
    </row>
    <row r="7" spans="1:12" ht="30" customHeight="1" x14ac:dyDescent="0.25">
      <c r="A7" s="13"/>
      <c r="C7" s="6">
        <f ca="1">IF(DAY(DecDom1)=1,DecDom1+22,DecDom1+29)</f>
        <v>43458</v>
      </c>
      <c r="D7" s="6">
        <f ca="1">IF(DAY(DecDom1)=1,DecDom1+23,DecDom1+30)</f>
        <v>43459</v>
      </c>
      <c r="E7" s="6">
        <f ca="1">IF(DAY(DecDom1)=1,DecDom1+24,DecDom1+31)</f>
        <v>43460</v>
      </c>
      <c r="F7" s="6">
        <f ca="1">IF(DAY(DecDom1)=1,DecDom1+25,DecDom1+32)</f>
        <v>43461</v>
      </c>
      <c r="G7" s="6">
        <f ca="1">IF(DAY(DecDom1)=1,DecDom1+26,DecDom1+33)</f>
        <v>43462</v>
      </c>
      <c r="H7" s="6">
        <f ca="1">IF(DAY(DecDom1)=1,DecDom1+27,DecDom1+34)</f>
        <v>43463</v>
      </c>
      <c r="I7" s="6">
        <f ca="1">IF(DAY(DecDom1)=1,DecDom1+28,DecDom1+35)</f>
        <v>43464</v>
      </c>
      <c r="J7" s="20"/>
      <c r="K7" s="35"/>
      <c r="L7" s="18"/>
    </row>
    <row r="8" spans="1:12" ht="30" customHeight="1" x14ac:dyDescent="0.25">
      <c r="A8" s="13"/>
      <c r="B8" s="18"/>
      <c r="C8" s="6">
        <f ca="1">IF(DAY(DecDom1)=1,DecDom1+29,DecDom1+36)</f>
        <v>43465</v>
      </c>
      <c r="D8" s="6">
        <f ca="1">IF(DAY(DecDom1)=1,DecDom1+30,DecDom1+37)</f>
        <v>43466</v>
      </c>
      <c r="E8" s="6">
        <f ca="1">IF(DAY(DecDom1)=1,DecDom1+31,DecDom1+38)</f>
        <v>43467</v>
      </c>
      <c r="F8" s="6">
        <f ca="1">IF(DAY(DecDom1)=1,DecDom1+32,DecDom1+39)</f>
        <v>43468</v>
      </c>
      <c r="G8" s="6">
        <f ca="1">IF(DAY(DecDom1)=1,DecDom1+33,DecDom1+40)</f>
        <v>43469</v>
      </c>
      <c r="H8" s="6">
        <f ca="1">IF(DAY(DecDom1)=1,DecDom1+34,DecDom1+41)</f>
        <v>43470</v>
      </c>
      <c r="I8" s="6">
        <f ca="1">IF(DAY(DecDom1)=1,DecDom1+35,DecDom1+42)</f>
        <v>43471</v>
      </c>
      <c r="J8" s="10" t="s">
        <v>30</v>
      </c>
      <c r="K8" s="36"/>
      <c r="L8" s="49"/>
    </row>
    <row r="9" spans="1:12" ht="30" customHeight="1" x14ac:dyDescent="0.25">
      <c r="A9" s="13"/>
      <c r="C9" s="4"/>
      <c r="D9" s="4"/>
      <c r="E9" s="4"/>
      <c r="F9" s="4"/>
      <c r="G9" s="4"/>
      <c r="H9" s="4"/>
      <c r="I9" s="4"/>
      <c r="J9" s="10"/>
      <c r="K9" s="36"/>
      <c r="L9" s="49"/>
    </row>
    <row r="10" spans="1:12" ht="30" customHeight="1" x14ac:dyDescent="0.25">
      <c r="A10" s="13"/>
      <c r="B10" s="16" t="s">
        <v>4</v>
      </c>
      <c r="C10" s="9"/>
      <c r="D10" s="9"/>
      <c r="E10" s="9"/>
      <c r="F10" s="9"/>
      <c r="G10" s="9"/>
      <c r="H10" s="9"/>
      <c r="I10" s="9"/>
      <c r="J10" s="10"/>
      <c r="K10" s="36"/>
      <c r="L10" s="49"/>
    </row>
    <row r="11" spans="1:12" ht="30" customHeight="1" x14ac:dyDescent="0.25">
      <c r="A11" s="26" t="s">
        <v>0</v>
      </c>
      <c r="B11" s="25" t="s">
        <v>29</v>
      </c>
      <c r="C11" s="67" t="s">
        <v>30</v>
      </c>
      <c r="D11" s="68"/>
      <c r="E11" s="67" t="s">
        <v>31</v>
      </c>
      <c r="F11" s="68"/>
      <c r="G11" s="67" t="s">
        <v>32</v>
      </c>
      <c r="H11" s="68"/>
      <c r="I11" s="3" t="s">
        <v>33</v>
      </c>
      <c r="J11" s="10"/>
      <c r="K11" s="36"/>
      <c r="L11" s="49"/>
    </row>
    <row r="12" spans="1:12" ht="30" customHeight="1" x14ac:dyDescent="0.25">
      <c r="A12" s="26" t="s">
        <v>1</v>
      </c>
      <c r="B12" s="21">
        <v>0.33333333333333331</v>
      </c>
      <c r="C12" s="76"/>
      <c r="D12" s="76"/>
      <c r="E12" s="76">
        <v>0.33333333333333331</v>
      </c>
      <c r="F12" s="76"/>
      <c r="G12" s="76"/>
      <c r="H12" s="76"/>
      <c r="I12" s="22">
        <v>0.33333333333333331</v>
      </c>
      <c r="J12" s="10"/>
      <c r="K12" s="36"/>
      <c r="L12" s="49"/>
    </row>
    <row r="13" spans="1:12" ht="30" customHeight="1" x14ac:dyDescent="0.25">
      <c r="A13" s="26" t="s">
        <v>2</v>
      </c>
      <c r="B13" s="27" t="s">
        <v>5</v>
      </c>
      <c r="C13" s="70"/>
      <c r="D13" s="70"/>
      <c r="E13" s="70" t="s">
        <v>5</v>
      </c>
      <c r="F13" s="70"/>
      <c r="G13" s="70"/>
      <c r="H13" s="70"/>
      <c r="I13" s="30" t="s">
        <v>5</v>
      </c>
      <c r="J13" s="20"/>
      <c r="K13" s="35"/>
      <c r="L13" s="18"/>
    </row>
    <row r="14" spans="1:12" ht="30" customHeight="1" x14ac:dyDescent="0.25">
      <c r="A14" s="26" t="s">
        <v>1</v>
      </c>
      <c r="B14" s="21"/>
      <c r="C14" s="76">
        <v>0.375</v>
      </c>
      <c r="D14" s="76"/>
      <c r="E14" s="76"/>
      <c r="F14" s="76"/>
      <c r="G14" s="76">
        <v>0.375</v>
      </c>
      <c r="H14" s="76"/>
      <c r="I14" s="22"/>
      <c r="J14" s="10" t="s">
        <v>31</v>
      </c>
      <c r="K14" s="36"/>
      <c r="L14" s="49"/>
    </row>
    <row r="15" spans="1:12" ht="30" customHeight="1" x14ac:dyDescent="0.25">
      <c r="A15" s="26" t="s">
        <v>2</v>
      </c>
      <c r="B15" s="27"/>
      <c r="C15" s="70" t="s">
        <v>11</v>
      </c>
      <c r="D15" s="70"/>
      <c r="E15" s="70"/>
      <c r="F15" s="70"/>
      <c r="G15" s="70" t="s">
        <v>11</v>
      </c>
      <c r="H15" s="70"/>
      <c r="I15" s="30"/>
      <c r="J15" s="10"/>
      <c r="K15" s="36"/>
      <c r="L15" s="49"/>
    </row>
    <row r="16" spans="1:12" ht="30" customHeight="1" x14ac:dyDescent="0.25">
      <c r="A16" s="26" t="s">
        <v>1</v>
      </c>
      <c r="B16" s="21" t="s">
        <v>6</v>
      </c>
      <c r="C16" s="76"/>
      <c r="D16" s="76"/>
      <c r="E16" s="76" t="s">
        <v>6</v>
      </c>
      <c r="F16" s="76"/>
      <c r="G16" s="76"/>
      <c r="H16" s="76"/>
      <c r="I16" s="24" t="s">
        <v>6</v>
      </c>
      <c r="J16" s="10"/>
      <c r="K16" s="36"/>
      <c r="L16" s="49"/>
    </row>
    <row r="17" spans="1:12" ht="30" customHeight="1" x14ac:dyDescent="0.25">
      <c r="A17" s="26" t="s">
        <v>2</v>
      </c>
      <c r="B17" s="27" t="s">
        <v>7</v>
      </c>
      <c r="C17" s="70"/>
      <c r="D17" s="70"/>
      <c r="E17" s="70" t="s">
        <v>7</v>
      </c>
      <c r="F17" s="70"/>
      <c r="G17" s="70"/>
      <c r="H17" s="70"/>
      <c r="I17" s="30" t="s">
        <v>7</v>
      </c>
      <c r="J17" s="10"/>
      <c r="K17" s="36"/>
      <c r="L17" s="49"/>
    </row>
    <row r="18" spans="1:12" ht="30" customHeight="1" x14ac:dyDescent="0.25">
      <c r="A18" s="26" t="s">
        <v>1</v>
      </c>
      <c r="B18" s="21"/>
      <c r="C18" s="76"/>
      <c r="D18" s="76"/>
      <c r="E18" s="76"/>
      <c r="F18" s="76"/>
      <c r="G18" s="76"/>
      <c r="H18" s="76"/>
      <c r="I18" s="22"/>
      <c r="J18" s="10"/>
      <c r="K18" s="36"/>
      <c r="L18" s="49"/>
    </row>
    <row r="19" spans="1:12" ht="30" customHeight="1" x14ac:dyDescent="0.25">
      <c r="A19" s="26" t="s">
        <v>2</v>
      </c>
      <c r="B19" s="27"/>
      <c r="C19" s="70"/>
      <c r="D19" s="70"/>
      <c r="E19" s="70"/>
      <c r="F19" s="70"/>
      <c r="G19" s="70"/>
      <c r="H19" s="70"/>
      <c r="I19" s="47"/>
      <c r="J19" s="20"/>
      <c r="K19" s="35"/>
      <c r="L19" s="18"/>
    </row>
    <row r="20" spans="1:12" ht="30" customHeight="1" x14ac:dyDescent="0.25">
      <c r="A20" s="26" t="s">
        <v>1</v>
      </c>
      <c r="B20" s="21"/>
      <c r="C20" s="76"/>
      <c r="D20" s="76"/>
      <c r="E20" s="76"/>
      <c r="F20" s="76"/>
      <c r="G20" s="76"/>
      <c r="H20" s="76"/>
      <c r="I20" s="22"/>
      <c r="J20" s="10" t="s">
        <v>32</v>
      </c>
      <c r="K20" s="36"/>
      <c r="L20" s="49"/>
    </row>
    <row r="21" spans="1:12" ht="30" customHeight="1" x14ac:dyDescent="0.25">
      <c r="A21" s="26" t="s">
        <v>2</v>
      </c>
      <c r="B21" s="27"/>
      <c r="C21" s="70"/>
      <c r="D21" s="70"/>
      <c r="E21" s="70"/>
      <c r="F21" s="70"/>
      <c r="G21" s="70"/>
      <c r="H21" s="70"/>
      <c r="I21" s="30"/>
      <c r="J21" s="10"/>
      <c r="K21" s="36"/>
      <c r="L21" s="49"/>
    </row>
    <row r="22" spans="1:12" ht="30" customHeight="1" x14ac:dyDescent="0.25">
      <c r="A22" s="26" t="s">
        <v>1</v>
      </c>
      <c r="B22" s="21"/>
      <c r="C22" s="76"/>
      <c r="D22" s="76"/>
      <c r="E22" s="76"/>
      <c r="F22" s="76"/>
      <c r="G22" s="76"/>
      <c r="H22" s="76"/>
      <c r="I22" s="22"/>
      <c r="J22" s="10"/>
      <c r="K22" s="36"/>
      <c r="L22" s="49"/>
    </row>
    <row r="23" spans="1:12" ht="30" customHeight="1" x14ac:dyDescent="0.25">
      <c r="A23" s="26" t="s">
        <v>2</v>
      </c>
      <c r="B23" s="27"/>
      <c r="C23" s="70"/>
      <c r="D23" s="70"/>
      <c r="E23" s="70"/>
      <c r="F23" s="70"/>
      <c r="G23" s="70"/>
      <c r="H23" s="70"/>
      <c r="I23" s="30"/>
      <c r="J23" s="10"/>
      <c r="K23" s="36"/>
      <c r="L23" s="49"/>
    </row>
    <row r="24" spans="1:12" ht="30" customHeight="1" x14ac:dyDescent="0.25">
      <c r="A24" s="26" t="s">
        <v>1</v>
      </c>
      <c r="B24" s="21" t="s">
        <v>8</v>
      </c>
      <c r="C24" s="76"/>
      <c r="D24" s="76"/>
      <c r="E24" s="76" t="s">
        <v>8</v>
      </c>
      <c r="F24" s="76"/>
      <c r="G24" s="76"/>
      <c r="H24" s="76"/>
      <c r="I24" s="22" t="s">
        <v>8</v>
      </c>
      <c r="J24" s="10"/>
      <c r="K24" s="36"/>
      <c r="L24" s="49"/>
    </row>
    <row r="25" spans="1:12" ht="30" customHeight="1" x14ac:dyDescent="0.25">
      <c r="A25" s="26" t="s">
        <v>2</v>
      </c>
      <c r="B25" s="27" t="s">
        <v>9</v>
      </c>
      <c r="C25" s="70"/>
      <c r="D25" s="70"/>
      <c r="E25" s="70" t="s">
        <v>9</v>
      </c>
      <c r="F25" s="70"/>
      <c r="G25" s="70"/>
      <c r="H25" s="70"/>
      <c r="I25" s="30" t="s">
        <v>9</v>
      </c>
      <c r="J25" s="20"/>
      <c r="K25" s="35"/>
      <c r="L25" s="18"/>
    </row>
    <row r="26" spans="1:12" ht="30" customHeight="1" x14ac:dyDescent="0.25">
      <c r="A26" s="26" t="s">
        <v>1</v>
      </c>
      <c r="B26" s="21"/>
      <c r="C26" s="76"/>
      <c r="D26" s="76"/>
      <c r="E26" s="76"/>
      <c r="F26" s="76"/>
      <c r="G26" s="76"/>
      <c r="H26" s="76"/>
      <c r="I26" s="22"/>
      <c r="J26" s="32" t="s">
        <v>33</v>
      </c>
      <c r="K26" s="37"/>
      <c r="L26" s="57"/>
    </row>
    <row r="27" spans="1:12" ht="30" customHeight="1" x14ac:dyDescent="0.25">
      <c r="A27" s="26" t="s">
        <v>2</v>
      </c>
      <c r="B27" s="27"/>
      <c r="C27" s="70"/>
      <c r="D27" s="70"/>
      <c r="E27" s="70"/>
      <c r="F27" s="70"/>
      <c r="G27" s="70"/>
      <c r="H27" s="70"/>
      <c r="I27" s="30"/>
      <c r="J27" s="45"/>
      <c r="K27" s="42"/>
      <c r="L27" s="58"/>
    </row>
    <row r="28" spans="1:12" ht="30" customHeight="1" x14ac:dyDescent="0.25">
      <c r="A28" s="26" t="s">
        <v>1</v>
      </c>
      <c r="B28" s="21"/>
      <c r="C28" s="76" t="s">
        <v>12</v>
      </c>
      <c r="D28" s="76"/>
      <c r="E28" s="76"/>
      <c r="F28" s="76"/>
      <c r="G28" s="76" t="s">
        <v>12</v>
      </c>
      <c r="H28" s="76"/>
      <c r="I28" s="22"/>
      <c r="J28" s="45"/>
      <c r="K28" s="42"/>
      <c r="L28" s="58"/>
    </row>
    <row r="29" spans="1:12" ht="30" customHeight="1" x14ac:dyDescent="0.25">
      <c r="A29" s="26" t="s">
        <v>2</v>
      </c>
      <c r="B29" s="27"/>
      <c r="C29" s="70" t="s">
        <v>13</v>
      </c>
      <c r="D29" s="70"/>
      <c r="E29" s="70"/>
      <c r="F29" s="70"/>
      <c r="G29" s="70" t="s">
        <v>13</v>
      </c>
      <c r="H29" s="70"/>
      <c r="I29" s="30"/>
      <c r="J29" s="45"/>
      <c r="K29" s="42"/>
      <c r="L29" s="58"/>
    </row>
    <row r="30" spans="1:12" ht="30" customHeight="1" x14ac:dyDescent="0.25">
      <c r="A30" s="26" t="s">
        <v>1</v>
      </c>
      <c r="B30" s="21"/>
      <c r="C30" s="76"/>
      <c r="D30" s="76"/>
      <c r="E30" s="76"/>
      <c r="F30" s="76"/>
      <c r="G30" s="76"/>
      <c r="H30" s="76"/>
      <c r="I30" s="22"/>
      <c r="J30" s="45"/>
      <c r="K30" s="42"/>
      <c r="L30" s="58"/>
    </row>
    <row r="31" spans="1:12" ht="30" customHeight="1" x14ac:dyDescent="0.25">
      <c r="A31" s="26" t="s">
        <v>2</v>
      </c>
      <c r="B31" s="28"/>
      <c r="C31" s="72"/>
      <c r="D31" s="72"/>
      <c r="E31" s="72"/>
      <c r="F31" s="72"/>
      <c r="G31" s="72"/>
      <c r="H31" s="72"/>
      <c r="I31" s="29"/>
      <c r="J31" s="45"/>
      <c r="K31" s="42"/>
      <c r="L31" s="58"/>
    </row>
  </sheetData>
  <mergeCells count="63">
    <mergeCell ref="C31:D31"/>
    <mergeCell ref="E31:F31"/>
    <mergeCell ref="G31:H31"/>
    <mergeCell ref="C29:D29"/>
    <mergeCell ref="E29:F29"/>
    <mergeCell ref="G29:H29"/>
    <mergeCell ref="C30:D30"/>
    <mergeCell ref="E30:F30"/>
    <mergeCell ref="G30:H30"/>
    <mergeCell ref="C27:D27"/>
    <mergeCell ref="E27:F27"/>
    <mergeCell ref="G27:H27"/>
    <mergeCell ref="C28:D28"/>
    <mergeCell ref="E28:F28"/>
    <mergeCell ref="G28:H28"/>
    <mergeCell ref="C25:D25"/>
    <mergeCell ref="E25:F25"/>
    <mergeCell ref="G25:H25"/>
    <mergeCell ref="C26:D26"/>
    <mergeCell ref="E26:F26"/>
    <mergeCell ref="G26:H26"/>
    <mergeCell ref="C23:D23"/>
    <mergeCell ref="E23:F23"/>
    <mergeCell ref="G23:H23"/>
    <mergeCell ref="C24:D24"/>
    <mergeCell ref="E24:F24"/>
    <mergeCell ref="G24:H24"/>
    <mergeCell ref="C21:D21"/>
    <mergeCell ref="E21:F21"/>
    <mergeCell ref="G21:H21"/>
    <mergeCell ref="C22:D22"/>
    <mergeCell ref="E22:F22"/>
    <mergeCell ref="G22:H22"/>
    <mergeCell ref="C19:D19"/>
    <mergeCell ref="E19:F19"/>
    <mergeCell ref="G19:H19"/>
    <mergeCell ref="C20:D20"/>
    <mergeCell ref="E20:F20"/>
    <mergeCell ref="G20:H20"/>
    <mergeCell ref="C17:D17"/>
    <mergeCell ref="E17:F17"/>
    <mergeCell ref="G17:H17"/>
    <mergeCell ref="C18:D18"/>
    <mergeCell ref="E18:F18"/>
    <mergeCell ref="G18:H18"/>
    <mergeCell ref="C15:D15"/>
    <mergeCell ref="E15:F15"/>
    <mergeCell ref="G15:H15"/>
    <mergeCell ref="C16:D16"/>
    <mergeCell ref="E16:F16"/>
    <mergeCell ref="G16:H16"/>
    <mergeCell ref="C13:D13"/>
    <mergeCell ref="E13:F13"/>
    <mergeCell ref="G13:H13"/>
    <mergeCell ref="C14:D14"/>
    <mergeCell ref="E14:F14"/>
    <mergeCell ref="G14:H14"/>
    <mergeCell ref="C11:D11"/>
    <mergeCell ref="E11:F11"/>
    <mergeCell ref="G11:H11"/>
    <mergeCell ref="C12:D12"/>
    <mergeCell ref="E12:F12"/>
    <mergeCell ref="G12:H12"/>
  </mergeCells>
  <conditionalFormatting sqref="C3:H3">
    <cfRule type="expression" dxfId="6" priority="6" stopIfTrue="1">
      <formula>DAY(C3)&gt;8</formula>
    </cfRule>
  </conditionalFormatting>
  <conditionalFormatting sqref="C7:I8">
    <cfRule type="expression" dxfId="5" priority="5" stopIfTrue="1">
      <formula>AND(DAY(C7)&gt;=1,DAY(C7)&lt;=15)</formula>
    </cfRule>
  </conditionalFormatting>
  <conditionalFormatting sqref="C3:I8">
    <cfRule type="expression" dxfId="4" priority="7">
      <formula>VLOOKUP(DAY(C3),AssignmentDays,1,FALSE)=DAY(C3)</formula>
    </cfRule>
  </conditionalFormatting>
  <conditionalFormatting sqref="B13:I13 B15:I15 B17:I17 B19:I19 B21:I21 B23:I23 B25:I25 B27:I27 B29:I29 B31:I31">
    <cfRule type="expression" dxfId="3" priority="4">
      <formula>B13&lt;&gt;""</formula>
    </cfRule>
  </conditionalFormatting>
  <conditionalFormatting sqref="B12:I12 B14:I14 B16:I16 B18:I18 B20:I20 B22:I22 B24:I24 B26:I26 B28:I28 B30:I30">
    <cfRule type="expression" dxfId="2" priority="3">
      <formula>B12&lt;&gt;""</formula>
    </cfRule>
  </conditionalFormatting>
  <conditionalFormatting sqref="B13:I13 B15:I15 B17:I17 B19:I19 B21:I21 B23:I23 B25:I25 B27:I27 B29:I29">
    <cfRule type="expression" dxfId="1" priority="2">
      <formula>COLUMN(B13)&gt;=2</formula>
    </cfRule>
  </conditionalFormatting>
  <conditionalFormatting sqref="B12:I31">
    <cfRule type="expression" dxfId="0" priority="1">
      <formula>COLUMN(B12)&gt;2</formula>
    </cfRule>
  </conditionalFormatting>
  <dataValidations xWindow="282" yWindow="695" count="13">
    <dataValidation allowBlank="1" showInputMessage="1" showErrorMessage="1" prompt="El calendario de diciembre resalta automáticamente las entradas de la lista de tareas para el mes. Las fuentes más oscuras indican tareas. Las fuentes más claras indican días que pertenecen al mes anterior o siguiente." sqref="B2" xr:uid="{00000000-0002-0000-0B00-000000000000}"/>
    <dataValidation allowBlank="1" showInputMessage="1" showErrorMessage="1" prompt="El año se actualiza automáticamente. Para cambiar el año, actualice la celda B1 en la hoja de cálculo de Ene." sqref="B1" xr:uid="{00000000-0002-0000-0B00-000001000000}"/>
    <dataValidation allowBlank="1" showInputMessage="1" showErrorMessage="1" prompt="Prepare una programación semanal y cree una lista de tareas en esta hoja de cálculo. Las tareas se resaltan automáticamente en el calendario mensual del año especificado en B1 de la hoja de cálculo de Ene." sqref="A1" xr:uid="{00000000-0002-0000-0B00-000002000000}"/>
    <dataValidation allowBlank="1" showInputMessage="1" showErrorMessage="1" prompt="Las celdas C2 a I2 contienen días de la semana." sqref="C2" xr:uid="{00000000-0002-0000-0B00-000003000000}"/>
    <dataValidation allowBlank="1" showInputMessage="1" showErrorMessage="1" prompt="Si esta celda no contiene el número 1, se trata de un día del mes anterior. Las celdas C3 a I8 contienen fechas para el mes actual." sqref="C3" xr:uid="{00000000-0002-0000-0B00-000004000000}"/>
    <dataValidation allowBlank="1" showInputMessage="1" showErrorMessage="1" prompt="Si esta fila contiene un número menor que el número o la fila de números anterior, en ese caso, esta fila contiene fechas para el próximo mes del calendario." sqref="C8" xr:uid="{00000000-0002-0000-0B00-000005000000}"/>
    <dataValidation allowBlank="1" showInputMessage="1" showErrorMessage="1" prompt="Escriba la hora en esta fila, de la columna B a la I." sqref="B12" xr:uid="{00000000-0002-0000-0B00-000006000000}"/>
    <dataValidation allowBlank="1" showInputMessage="1" showErrorMessage="1" prompt="Escriba la clase en esta fila, de la columna B a la I." sqref="B13" xr:uid="{00000000-0002-0000-0B00-000007000000}"/>
    <dataValidation allowBlank="1" showInputMessage="1" showErrorMessage="1" prompt="Los días de la semana se agrupan en esta columna con 6 filas para las tareas para cada día laborable agrupado del mes. Inserte las nuevas filas para agregar más tareas. El calendario a la izquierda resaltará elementos." sqref="J1" xr:uid="{00000000-0002-0000-0B00-000008000000}"/>
    <dataValidation allowBlank="1" showInputMessage="1" showErrorMessage="1" prompt="Escriba en esta columna los detalles de la tarea correspondientes al día de la semana de la columna J y al día de la columna K del mes del calendario de la izquierda." sqref="L1" xr:uid="{00000000-0002-0000-0B00-000009000000}"/>
    <dataValidation allowBlank="1" showInputMessage="1" showErrorMessage="1" prompt="Escriba en esta columna el día de la tarea del mes que corresponda al día de la semana de la columna J. Esta fecha resaltará la tarea en el calendario de la izquierda." sqref="K1" xr:uid="{00000000-0002-0000-0B00-00000A000000}"/>
    <dataValidation allowBlank="1" showInputMessage="1" showErrorMessage="1" prompt="Los días de la semana se encuentran en esta fila, del lunes al viernes." sqref="B11" xr:uid="{00000000-0002-0000-0B00-00000B000000}"/>
    <dataValidation allowBlank="1" showInputMessage="1" showErrorMessage="1" prompt="Escriba la hora de la clase y debajo, en una nueva fila, el nombre de clase para cada día de la semana en las columnas B a I. Repita este patrón para todas las clases en las filas posteriores." sqref="B10" xr:uid="{00000000-0002-0000-0B00-00000C000000}"/>
  </dataValidations>
  <printOptions horizontalCentered="1" verticalCentered="1"/>
  <pageMargins left="0.5" right="0.5" top="0.5" bottom="0.5" header="0.3" footer="0.3"/>
  <pageSetup paperSize="9" scale="58" orientation="landscape" r:id="rId1"/>
  <headerFooter differentFirst="1">
    <oddFooter>Page &amp;P of &amp;N</oddFooter>
  </headerFooter>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theme="4"/>
    <pageSetUpPr fitToPage="1"/>
  </sheetPr>
  <dimension ref="A1:L31"/>
  <sheetViews>
    <sheetView showGridLines="0" zoomScaleNormal="100" zoomScalePageLayoutView="84" workbookViewId="0"/>
  </sheetViews>
  <sheetFormatPr baseColWidth="10" defaultColWidth="8.625" defaultRowHeight="30" customHeight="1" x14ac:dyDescent="0.2"/>
  <cols>
    <col min="1" max="1" width="2.625" style="1" customWidth="1"/>
    <col min="2" max="2" width="20.625" style="17" customWidth="1"/>
    <col min="3" max="8" width="10.625" style="1" customWidth="1"/>
    <col min="9" max="9" width="20.625" style="1" customWidth="1"/>
    <col min="10" max="10" width="10.625" style="1" customWidth="1"/>
    <col min="11" max="11" width="10.625" customWidth="1"/>
    <col min="12" max="12" width="70.625" style="1" customWidth="1"/>
    <col min="13" max="13" width="2.625" customWidth="1"/>
  </cols>
  <sheetData>
    <row r="1" spans="1:12" ht="30" customHeight="1" x14ac:dyDescent="0.2">
      <c r="A1" s="17"/>
      <c r="B1" s="12">
        <f ca="1">AñoCalendario</f>
        <v>2018</v>
      </c>
      <c r="J1" s="19" t="s">
        <v>0</v>
      </c>
      <c r="K1" s="19" t="s">
        <v>14</v>
      </c>
      <c r="L1" s="11" t="s">
        <v>15</v>
      </c>
    </row>
    <row r="2" spans="1:12" ht="30" customHeight="1" x14ac:dyDescent="0.25">
      <c r="A2" s="13"/>
      <c r="B2" s="23" t="s">
        <v>18</v>
      </c>
      <c r="C2" s="7" t="s">
        <v>29</v>
      </c>
      <c r="D2" s="7" t="s">
        <v>30</v>
      </c>
      <c r="E2" s="7" t="s">
        <v>31</v>
      </c>
      <c r="F2" s="7" t="s">
        <v>32</v>
      </c>
      <c r="G2" s="7" t="s">
        <v>33</v>
      </c>
      <c r="H2" s="7" t="s">
        <v>34</v>
      </c>
      <c r="I2" s="7" t="s">
        <v>35</v>
      </c>
      <c r="J2" s="10" t="s">
        <v>29</v>
      </c>
      <c r="K2" s="42"/>
      <c r="L2" s="49"/>
    </row>
    <row r="3" spans="1:12" ht="30" customHeight="1" x14ac:dyDescent="0.25">
      <c r="A3" s="13"/>
      <c r="C3" s="6">
        <f ca="1">IF(DAY(FebDom1)=1,FebDom1-6,FebDom1+1)</f>
        <v>43129</v>
      </c>
      <c r="D3" s="6">
        <f ca="1">IF(DAY(FebDom1)=1,FebDom1-5,FebDom1+2)</f>
        <v>43130</v>
      </c>
      <c r="E3" s="6">
        <f ca="1">IF(DAY(FebDom1)=1,FebDom1-4,FebDom1+3)</f>
        <v>43131</v>
      </c>
      <c r="F3" s="6">
        <f ca="1">IF(DAY(FebDom1)=1,FebDom1-3,FebDom1+4)</f>
        <v>43132</v>
      </c>
      <c r="G3" s="6">
        <f ca="1">IF(DAY(FebDom1)=1,FebDom1-2,FebDom1+5)</f>
        <v>43133</v>
      </c>
      <c r="H3" s="6">
        <f ca="1">IF(DAY(FebDom1)=1,FebDom1-1,FebDom1+6)</f>
        <v>43134</v>
      </c>
      <c r="I3" s="6">
        <f ca="1">IF(DAY(FebDom1)=1,FebDom1,FebDom1+7)</f>
        <v>43135</v>
      </c>
      <c r="J3" s="10"/>
      <c r="K3" s="36"/>
      <c r="L3" s="49"/>
    </row>
    <row r="4" spans="1:12" ht="30" customHeight="1" x14ac:dyDescent="0.25">
      <c r="A4" s="13"/>
      <c r="C4" s="6">
        <f ca="1">IF(DAY(FebDom1)=1,FebDom1+1,FebDom1+8)</f>
        <v>43136</v>
      </c>
      <c r="D4" s="6">
        <f ca="1">IF(DAY(FebDom1)=1,FebDom1+2,FebDom1+9)</f>
        <v>43137</v>
      </c>
      <c r="E4" s="6">
        <f ca="1">IF(DAY(FebDom1)=1,FebDom1+3,FebDom1+10)</f>
        <v>43138</v>
      </c>
      <c r="F4" s="6">
        <f ca="1">IF(DAY(FebDom1)=1,FebDom1+4,FebDom1+11)</f>
        <v>43139</v>
      </c>
      <c r="G4" s="6">
        <f ca="1">IF(DAY(FebDom1)=1,FebDom1+5,FebDom1+12)</f>
        <v>43140</v>
      </c>
      <c r="H4" s="6">
        <f ca="1">IF(DAY(FebDom1)=1,FebDom1+6,FebDom1+13)</f>
        <v>43141</v>
      </c>
      <c r="I4" s="6">
        <f ca="1">IF(DAY(FebDom1)=1,FebDom1+7,FebDom1+14)</f>
        <v>43142</v>
      </c>
      <c r="J4" s="10"/>
      <c r="K4" s="36"/>
      <c r="L4" s="49"/>
    </row>
    <row r="5" spans="1:12" ht="30" customHeight="1" x14ac:dyDescent="0.25">
      <c r="A5" s="13"/>
      <c r="C5" s="6">
        <f ca="1">IF(DAY(FebDom1)=1,FebDom1+8,FebDom1+15)</f>
        <v>43143</v>
      </c>
      <c r="D5" s="6">
        <f ca="1">IF(DAY(FebDom1)=1,FebDom1+9,FebDom1+16)</f>
        <v>43144</v>
      </c>
      <c r="E5" s="6">
        <f ca="1">IF(DAY(FebDom1)=1,FebDom1+10,FebDom1+17)</f>
        <v>43145</v>
      </c>
      <c r="F5" s="6">
        <f ca="1">IF(DAY(FebDom1)=1,FebDom1+11,FebDom1+18)</f>
        <v>43146</v>
      </c>
      <c r="G5" s="6">
        <f ca="1">IF(DAY(FebDom1)=1,FebDom1+12,FebDom1+19)</f>
        <v>43147</v>
      </c>
      <c r="H5" s="6">
        <f ca="1">IF(DAY(FebDom1)=1,FebDom1+13,FebDom1+20)</f>
        <v>43148</v>
      </c>
      <c r="I5" s="6">
        <f ca="1">IF(DAY(FebDom1)=1,FebDom1+14,FebDom1+21)</f>
        <v>43149</v>
      </c>
      <c r="J5" s="10"/>
      <c r="K5" s="36"/>
      <c r="L5" s="49"/>
    </row>
    <row r="6" spans="1:12" ht="30" customHeight="1" x14ac:dyDescent="0.25">
      <c r="A6" s="13"/>
      <c r="C6" s="6">
        <f ca="1">IF(DAY(FebDom1)=1,FebDom1+15,FebDom1+22)</f>
        <v>43150</v>
      </c>
      <c r="D6" s="6">
        <f ca="1">IF(DAY(FebDom1)=1,FebDom1+16,FebDom1+23)</f>
        <v>43151</v>
      </c>
      <c r="E6" s="6">
        <f ca="1">IF(DAY(FebDom1)=1,FebDom1+17,FebDom1+24)</f>
        <v>43152</v>
      </c>
      <c r="F6" s="6">
        <f ca="1">IF(DAY(FebDom1)=1,FebDom1+18,FebDom1+25)</f>
        <v>43153</v>
      </c>
      <c r="G6" s="6">
        <f ca="1">IF(DAY(FebDom1)=1,FebDom1+19,FebDom1+26)</f>
        <v>43154</v>
      </c>
      <c r="H6" s="6">
        <f ca="1">IF(DAY(FebDom1)=1,FebDom1+20,FebDom1+27)</f>
        <v>43155</v>
      </c>
      <c r="I6" s="6">
        <f ca="1">IF(DAY(FebDom1)=1,FebDom1+21,FebDom1+28)</f>
        <v>43156</v>
      </c>
      <c r="J6" s="10"/>
      <c r="K6" s="36"/>
      <c r="L6" s="49"/>
    </row>
    <row r="7" spans="1:12" ht="30" customHeight="1" x14ac:dyDescent="0.25">
      <c r="A7" s="13"/>
      <c r="C7" s="6">
        <f ca="1">IF(DAY(FebDom1)=1,FebDom1+22,FebDom1+29)</f>
        <v>43157</v>
      </c>
      <c r="D7" s="6">
        <f ca="1">IF(DAY(FebDom1)=1,FebDom1+23,FebDom1+30)</f>
        <v>43158</v>
      </c>
      <c r="E7" s="6">
        <f ca="1">IF(DAY(FebDom1)=1,FebDom1+24,FebDom1+31)</f>
        <v>43159</v>
      </c>
      <c r="F7" s="6">
        <f ca="1">IF(DAY(FebDom1)=1,FebDom1+25,FebDom1+32)</f>
        <v>43160</v>
      </c>
      <c r="G7" s="6">
        <f ca="1">IF(DAY(FebDom1)=1,FebDom1+26,FebDom1+33)</f>
        <v>43161</v>
      </c>
      <c r="H7" s="6">
        <f ca="1">IF(DAY(FebDom1)=1,FebDom1+27,FebDom1+34)</f>
        <v>43162</v>
      </c>
      <c r="I7" s="6">
        <f ca="1">IF(DAY(FebDom1)=1,FebDom1+28,FebDom1+35)</f>
        <v>43163</v>
      </c>
      <c r="J7" s="20"/>
      <c r="K7" s="35"/>
      <c r="L7" s="18"/>
    </row>
    <row r="8" spans="1:12" ht="30" customHeight="1" x14ac:dyDescent="0.25">
      <c r="A8" s="13"/>
      <c r="B8" s="18"/>
      <c r="C8" s="6">
        <f ca="1">IF(DAY(FebDom1)=1,FebDom1+29,FebDom1+36)</f>
        <v>43164</v>
      </c>
      <c r="D8" s="6">
        <f ca="1">IF(DAY(FebDom1)=1,FebDom1+30,FebDom1+37)</f>
        <v>43165</v>
      </c>
      <c r="E8" s="6">
        <f ca="1">IF(DAY(FebDom1)=1,FebDom1+31,FebDom1+38)</f>
        <v>43166</v>
      </c>
      <c r="F8" s="6">
        <f ca="1">IF(DAY(FebDom1)=1,FebDom1+32,FebDom1+39)</f>
        <v>43167</v>
      </c>
      <c r="G8" s="6">
        <f ca="1">IF(DAY(FebDom1)=1,FebDom1+33,FebDom1+40)</f>
        <v>43168</v>
      </c>
      <c r="H8" s="6">
        <f ca="1">IF(DAY(FebDom1)=1,FebDom1+34,FebDom1+41)</f>
        <v>43169</v>
      </c>
      <c r="I8" s="6">
        <f ca="1">IF(DAY(FebDom1)=1,FebDom1+35,FebDom1+42)</f>
        <v>43170</v>
      </c>
      <c r="J8" s="10" t="s">
        <v>30</v>
      </c>
      <c r="K8" s="37"/>
      <c r="L8" s="49"/>
    </row>
    <row r="9" spans="1:12" ht="30" customHeight="1" x14ac:dyDescent="0.25">
      <c r="A9" s="13"/>
      <c r="C9" s="4"/>
      <c r="D9" s="4"/>
      <c r="E9" s="4"/>
      <c r="F9" s="4"/>
      <c r="G9" s="4"/>
      <c r="H9" s="4"/>
      <c r="I9" s="4"/>
      <c r="J9" s="10"/>
      <c r="K9" s="36"/>
      <c r="L9" s="49"/>
    </row>
    <row r="10" spans="1:12" ht="30" customHeight="1" x14ac:dyDescent="0.25">
      <c r="A10" s="13"/>
      <c r="B10" s="16" t="s">
        <v>4</v>
      </c>
      <c r="C10" s="9"/>
      <c r="D10" s="9"/>
      <c r="E10" s="9"/>
      <c r="F10" s="9"/>
      <c r="G10" s="9"/>
      <c r="H10" s="9"/>
      <c r="I10" s="9"/>
      <c r="J10" s="10"/>
      <c r="K10" s="36"/>
      <c r="L10" s="49"/>
    </row>
    <row r="11" spans="1:12" ht="30" customHeight="1" x14ac:dyDescent="0.25">
      <c r="A11" s="26" t="s">
        <v>0</v>
      </c>
      <c r="B11" s="25" t="s">
        <v>29</v>
      </c>
      <c r="C11" s="67" t="s">
        <v>30</v>
      </c>
      <c r="D11" s="68"/>
      <c r="E11" s="67" t="s">
        <v>31</v>
      </c>
      <c r="F11" s="68"/>
      <c r="G11" s="67" t="s">
        <v>32</v>
      </c>
      <c r="H11" s="68"/>
      <c r="I11" s="3" t="s">
        <v>33</v>
      </c>
      <c r="J11" s="10"/>
      <c r="K11" s="36"/>
      <c r="L11" s="49"/>
    </row>
    <row r="12" spans="1:12" ht="30" customHeight="1" x14ac:dyDescent="0.25">
      <c r="A12" s="26" t="s">
        <v>1</v>
      </c>
      <c r="B12" s="21">
        <v>0.33333333333333331</v>
      </c>
      <c r="C12" s="76"/>
      <c r="D12" s="76"/>
      <c r="E12" s="76">
        <v>0.33333333333333331</v>
      </c>
      <c r="F12" s="76"/>
      <c r="G12" s="76"/>
      <c r="H12" s="76"/>
      <c r="I12" s="22">
        <v>0.33333333333333331</v>
      </c>
      <c r="J12" s="10"/>
      <c r="K12" s="36"/>
      <c r="L12" s="49"/>
    </row>
    <row r="13" spans="1:12" ht="30" customHeight="1" x14ac:dyDescent="0.25">
      <c r="A13" s="26" t="s">
        <v>2</v>
      </c>
      <c r="B13" s="27" t="s">
        <v>5</v>
      </c>
      <c r="C13" s="70"/>
      <c r="D13" s="70"/>
      <c r="E13" s="70" t="s">
        <v>5</v>
      </c>
      <c r="F13" s="70"/>
      <c r="G13" s="70"/>
      <c r="H13" s="70"/>
      <c r="I13" s="30" t="s">
        <v>5</v>
      </c>
      <c r="J13" s="20"/>
      <c r="K13" s="35"/>
      <c r="L13" s="18"/>
    </row>
    <row r="14" spans="1:12" ht="30" customHeight="1" x14ac:dyDescent="0.25">
      <c r="A14" s="26" t="s">
        <v>1</v>
      </c>
      <c r="B14" s="21"/>
      <c r="C14" s="75">
        <v>0.375</v>
      </c>
      <c r="D14" s="75"/>
      <c r="E14" s="75"/>
      <c r="F14" s="75"/>
      <c r="G14" s="75">
        <v>0.375</v>
      </c>
      <c r="H14" s="75"/>
      <c r="I14" s="22"/>
      <c r="J14" s="10" t="s">
        <v>31</v>
      </c>
      <c r="K14" s="37"/>
      <c r="L14" s="49"/>
    </row>
    <row r="15" spans="1:12" ht="30" customHeight="1" x14ac:dyDescent="0.25">
      <c r="A15" s="26" t="s">
        <v>2</v>
      </c>
      <c r="B15" s="27"/>
      <c r="C15" s="70" t="s">
        <v>11</v>
      </c>
      <c r="D15" s="70"/>
      <c r="E15" s="70"/>
      <c r="F15" s="70"/>
      <c r="G15" s="70" t="s">
        <v>11</v>
      </c>
      <c r="H15" s="70"/>
      <c r="I15" s="30"/>
      <c r="J15" s="10"/>
      <c r="K15" s="36"/>
      <c r="L15" s="49"/>
    </row>
    <row r="16" spans="1:12" ht="30" customHeight="1" x14ac:dyDescent="0.25">
      <c r="A16" s="26" t="s">
        <v>1</v>
      </c>
      <c r="B16" s="21" t="s">
        <v>6</v>
      </c>
      <c r="C16" s="75"/>
      <c r="D16" s="75"/>
      <c r="E16" s="75" t="s">
        <v>6</v>
      </c>
      <c r="F16" s="75"/>
      <c r="G16" s="75"/>
      <c r="H16" s="75"/>
      <c r="I16" s="24" t="s">
        <v>6</v>
      </c>
      <c r="J16" s="10"/>
      <c r="K16" s="36"/>
      <c r="L16" s="49"/>
    </row>
    <row r="17" spans="1:12" ht="30" customHeight="1" x14ac:dyDescent="0.25">
      <c r="A17" s="26" t="s">
        <v>2</v>
      </c>
      <c r="B17" s="27" t="s">
        <v>7</v>
      </c>
      <c r="C17" s="70"/>
      <c r="D17" s="70"/>
      <c r="E17" s="70" t="s">
        <v>7</v>
      </c>
      <c r="F17" s="70"/>
      <c r="G17" s="70"/>
      <c r="H17" s="70"/>
      <c r="I17" s="30" t="s">
        <v>7</v>
      </c>
      <c r="J17" s="10"/>
      <c r="K17" s="36"/>
      <c r="L17" s="49"/>
    </row>
    <row r="18" spans="1:12" ht="30" customHeight="1" x14ac:dyDescent="0.25">
      <c r="A18" s="26" t="s">
        <v>1</v>
      </c>
      <c r="B18" s="21"/>
      <c r="C18" s="75"/>
      <c r="D18" s="75"/>
      <c r="E18" s="75"/>
      <c r="F18" s="75"/>
      <c r="G18" s="75"/>
      <c r="H18" s="75"/>
      <c r="I18" s="22"/>
      <c r="J18" s="10"/>
      <c r="K18" s="36"/>
      <c r="L18" s="49"/>
    </row>
    <row r="19" spans="1:12" ht="30" customHeight="1" x14ac:dyDescent="0.25">
      <c r="A19" s="26" t="s">
        <v>2</v>
      </c>
      <c r="B19" s="27"/>
      <c r="C19" s="70"/>
      <c r="D19" s="70"/>
      <c r="E19" s="70"/>
      <c r="F19" s="70"/>
      <c r="G19" s="70"/>
      <c r="H19" s="70"/>
      <c r="I19" s="47"/>
      <c r="J19" s="20"/>
      <c r="K19" s="35"/>
      <c r="L19" s="18"/>
    </row>
    <row r="20" spans="1:12" ht="30" customHeight="1" x14ac:dyDescent="0.25">
      <c r="A20" s="26" t="s">
        <v>1</v>
      </c>
      <c r="B20" s="21"/>
      <c r="C20" s="75"/>
      <c r="D20" s="75"/>
      <c r="E20" s="75"/>
      <c r="F20" s="75"/>
      <c r="G20" s="75"/>
      <c r="H20" s="75"/>
      <c r="I20" s="22"/>
      <c r="J20" s="10" t="s">
        <v>32</v>
      </c>
      <c r="K20" s="37"/>
      <c r="L20" s="49"/>
    </row>
    <row r="21" spans="1:12" ht="30" customHeight="1" x14ac:dyDescent="0.25">
      <c r="A21" s="26" t="s">
        <v>2</v>
      </c>
      <c r="B21" s="27"/>
      <c r="C21" s="70"/>
      <c r="D21" s="70"/>
      <c r="E21" s="70"/>
      <c r="F21" s="70"/>
      <c r="G21" s="70"/>
      <c r="H21" s="70"/>
      <c r="I21" s="30"/>
      <c r="J21" s="10"/>
      <c r="K21" s="36"/>
      <c r="L21" s="49"/>
    </row>
    <row r="22" spans="1:12" ht="30" customHeight="1" x14ac:dyDescent="0.25">
      <c r="A22" s="26" t="s">
        <v>1</v>
      </c>
      <c r="B22" s="21"/>
      <c r="C22" s="75"/>
      <c r="D22" s="75"/>
      <c r="E22" s="75"/>
      <c r="F22" s="75"/>
      <c r="G22" s="75"/>
      <c r="H22" s="75"/>
      <c r="I22" s="22"/>
      <c r="J22" s="10"/>
      <c r="K22" s="36"/>
      <c r="L22" s="49"/>
    </row>
    <row r="23" spans="1:12" ht="30" customHeight="1" x14ac:dyDescent="0.25">
      <c r="A23" s="26" t="s">
        <v>2</v>
      </c>
      <c r="B23" s="27"/>
      <c r="C23" s="70"/>
      <c r="D23" s="70"/>
      <c r="E23" s="70"/>
      <c r="F23" s="70"/>
      <c r="G23" s="70"/>
      <c r="H23" s="70"/>
      <c r="I23" s="30"/>
      <c r="J23" s="10"/>
      <c r="K23" s="36"/>
      <c r="L23" s="49"/>
    </row>
    <row r="24" spans="1:12" ht="30" customHeight="1" x14ac:dyDescent="0.25">
      <c r="A24" s="26" t="s">
        <v>1</v>
      </c>
      <c r="B24" s="21" t="s">
        <v>8</v>
      </c>
      <c r="C24" s="75"/>
      <c r="D24" s="75"/>
      <c r="E24" s="75" t="s">
        <v>8</v>
      </c>
      <c r="F24" s="75"/>
      <c r="G24" s="75"/>
      <c r="H24" s="75"/>
      <c r="I24" s="22" t="s">
        <v>8</v>
      </c>
      <c r="J24" s="10"/>
      <c r="K24" s="36"/>
      <c r="L24" s="49"/>
    </row>
    <row r="25" spans="1:12" ht="30" customHeight="1" x14ac:dyDescent="0.25">
      <c r="A25" s="26" t="s">
        <v>2</v>
      </c>
      <c r="B25" s="27" t="s">
        <v>9</v>
      </c>
      <c r="C25" s="70"/>
      <c r="D25" s="70"/>
      <c r="E25" s="70" t="s">
        <v>9</v>
      </c>
      <c r="F25" s="70"/>
      <c r="G25" s="70"/>
      <c r="H25" s="70"/>
      <c r="I25" s="30" t="s">
        <v>9</v>
      </c>
      <c r="J25" s="20"/>
      <c r="K25" s="35"/>
      <c r="L25" s="18"/>
    </row>
    <row r="26" spans="1:12" ht="30" customHeight="1" x14ac:dyDescent="0.25">
      <c r="A26" s="26" t="s">
        <v>1</v>
      </c>
      <c r="B26" s="21"/>
      <c r="C26" s="75"/>
      <c r="D26" s="75"/>
      <c r="E26" s="75"/>
      <c r="F26" s="75"/>
      <c r="G26" s="75"/>
      <c r="H26" s="75"/>
      <c r="I26" s="22"/>
      <c r="J26" s="10" t="s">
        <v>33</v>
      </c>
      <c r="K26" s="37"/>
      <c r="L26" s="49"/>
    </row>
    <row r="27" spans="1:12" ht="30" customHeight="1" x14ac:dyDescent="0.25">
      <c r="A27" s="26" t="s">
        <v>2</v>
      </c>
      <c r="B27" s="27"/>
      <c r="C27" s="70"/>
      <c r="D27" s="70"/>
      <c r="E27" s="70"/>
      <c r="F27" s="70"/>
      <c r="G27" s="70"/>
      <c r="H27" s="70"/>
      <c r="I27" s="30"/>
      <c r="J27" s="10"/>
      <c r="K27" s="36"/>
      <c r="L27" s="49"/>
    </row>
    <row r="28" spans="1:12" ht="30" customHeight="1" x14ac:dyDescent="0.25">
      <c r="A28" s="26" t="s">
        <v>1</v>
      </c>
      <c r="B28" s="21"/>
      <c r="C28" s="75" t="s">
        <v>12</v>
      </c>
      <c r="D28" s="75"/>
      <c r="E28" s="75"/>
      <c r="F28" s="75"/>
      <c r="G28" s="75" t="s">
        <v>12</v>
      </c>
      <c r="H28" s="75"/>
      <c r="I28" s="22"/>
      <c r="J28" s="10"/>
      <c r="K28" s="36"/>
      <c r="L28" s="49"/>
    </row>
    <row r="29" spans="1:12" ht="30" customHeight="1" x14ac:dyDescent="0.25">
      <c r="A29" s="26" t="s">
        <v>2</v>
      </c>
      <c r="B29" s="27"/>
      <c r="C29" s="70" t="s">
        <v>13</v>
      </c>
      <c r="D29" s="70"/>
      <c r="E29" s="70"/>
      <c r="F29" s="70"/>
      <c r="G29" s="70" t="s">
        <v>13</v>
      </c>
      <c r="H29" s="70"/>
      <c r="I29" s="30"/>
      <c r="J29" s="10"/>
      <c r="K29" s="36"/>
      <c r="L29" s="49"/>
    </row>
    <row r="30" spans="1:12" ht="30" customHeight="1" x14ac:dyDescent="0.25">
      <c r="A30" s="26" t="s">
        <v>1</v>
      </c>
      <c r="B30" s="21"/>
      <c r="C30" s="75"/>
      <c r="D30" s="75"/>
      <c r="E30" s="75"/>
      <c r="F30" s="75"/>
      <c r="G30" s="75"/>
      <c r="H30" s="75"/>
      <c r="I30" s="22"/>
      <c r="J30" s="10"/>
      <c r="K30" s="36"/>
      <c r="L30" s="49"/>
    </row>
    <row r="31" spans="1:12" ht="30" customHeight="1" x14ac:dyDescent="0.25">
      <c r="A31" s="26" t="s">
        <v>2</v>
      </c>
      <c r="B31" s="31"/>
      <c r="C31" s="74"/>
      <c r="D31" s="74"/>
      <c r="E31" s="74"/>
      <c r="F31" s="74"/>
      <c r="G31" s="74"/>
      <c r="H31" s="74"/>
      <c r="I31" s="29"/>
      <c r="J31" s="10"/>
      <c r="K31" s="42"/>
      <c r="L31" s="49"/>
    </row>
  </sheetData>
  <mergeCells count="63">
    <mergeCell ref="C11:D11"/>
    <mergeCell ref="E11:F11"/>
    <mergeCell ref="G11:H11"/>
    <mergeCell ref="C12:D12"/>
    <mergeCell ref="E12:F12"/>
    <mergeCell ref="G12:H12"/>
    <mergeCell ref="C13:D13"/>
    <mergeCell ref="E13:F13"/>
    <mergeCell ref="G13:H13"/>
    <mergeCell ref="C16:D16"/>
    <mergeCell ref="E16:F16"/>
    <mergeCell ref="G16:H16"/>
    <mergeCell ref="C14:D14"/>
    <mergeCell ref="E14:F14"/>
    <mergeCell ref="G14:H14"/>
    <mergeCell ref="C15:D15"/>
    <mergeCell ref="E15:F15"/>
    <mergeCell ref="G15:H15"/>
    <mergeCell ref="C17:D17"/>
    <mergeCell ref="E17:F17"/>
    <mergeCell ref="G17:H17"/>
    <mergeCell ref="C18:D18"/>
    <mergeCell ref="E18:F18"/>
    <mergeCell ref="G18:H18"/>
    <mergeCell ref="C21:D21"/>
    <mergeCell ref="E21:F21"/>
    <mergeCell ref="G21:H21"/>
    <mergeCell ref="C19:D19"/>
    <mergeCell ref="E19:F19"/>
    <mergeCell ref="G19:H19"/>
    <mergeCell ref="C20:D20"/>
    <mergeCell ref="E20:F20"/>
    <mergeCell ref="G20:H20"/>
    <mergeCell ref="C22:D22"/>
    <mergeCell ref="E22:F22"/>
    <mergeCell ref="G22:H22"/>
    <mergeCell ref="C23:D23"/>
    <mergeCell ref="E23:F23"/>
    <mergeCell ref="G23:H23"/>
    <mergeCell ref="C24:D24"/>
    <mergeCell ref="E24:F24"/>
    <mergeCell ref="G24:H24"/>
    <mergeCell ref="C25:D25"/>
    <mergeCell ref="E25:F25"/>
    <mergeCell ref="G25:H25"/>
    <mergeCell ref="C28:D28"/>
    <mergeCell ref="E28:F28"/>
    <mergeCell ref="G28:H28"/>
    <mergeCell ref="C26:D26"/>
    <mergeCell ref="E26:F26"/>
    <mergeCell ref="G26:H26"/>
    <mergeCell ref="C27:D27"/>
    <mergeCell ref="E27:F27"/>
    <mergeCell ref="G27:H27"/>
    <mergeCell ref="C31:D31"/>
    <mergeCell ref="E31:F31"/>
    <mergeCell ref="G31:H31"/>
    <mergeCell ref="C29:D29"/>
    <mergeCell ref="E29:F29"/>
    <mergeCell ref="G29:H29"/>
    <mergeCell ref="C30:D30"/>
    <mergeCell ref="E30:F30"/>
    <mergeCell ref="G30:H30"/>
  </mergeCells>
  <conditionalFormatting sqref="C3:H3">
    <cfRule type="expression" dxfId="78" priority="9" stopIfTrue="1">
      <formula>DAY(C3)&gt;8</formula>
    </cfRule>
  </conditionalFormatting>
  <conditionalFormatting sqref="C7:I8">
    <cfRule type="expression" dxfId="77" priority="8" stopIfTrue="1">
      <formula>AND(DAY(C7)&gt;=1,DAY(C7)&lt;=15)</formula>
    </cfRule>
  </conditionalFormatting>
  <conditionalFormatting sqref="C3:I8">
    <cfRule type="expression" dxfId="76" priority="10">
      <formula>VLOOKUP(DAY(C3),AssignmentDays,1,FALSE)=DAY(C3)</formula>
    </cfRule>
  </conditionalFormatting>
  <conditionalFormatting sqref="B13:I13 B15:I15 B17:I17 B19:I19 B21:I21 B23:I23 B25:I25 B27:I27 B29:I29 B31:I31">
    <cfRule type="expression" dxfId="75" priority="7">
      <formula>B13&lt;&gt;""</formula>
    </cfRule>
  </conditionalFormatting>
  <conditionalFormatting sqref="B12:I12 B14:I14 B16:I16 B18:I18 B20:I20 B22:I22 B24:I24 B26:I26 B28:I28 B30:I30">
    <cfRule type="expression" dxfId="74" priority="6">
      <formula>B12&lt;&gt;""</formula>
    </cfRule>
  </conditionalFormatting>
  <conditionalFormatting sqref="B13:I13 B15:I15 B17:I17 B19:I19 B21:I21 B23:I23 B25:I25 B27:I27 B29:I29">
    <cfRule type="expression" dxfId="73" priority="4">
      <formula>COLUMN(B12)&gt;=2</formula>
    </cfRule>
  </conditionalFormatting>
  <conditionalFormatting sqref="B12:I31">
    <cfRule type="expression" dxfId="72" priority="1">
      <formula>COLUMN(B12)&gt;2</formula>
    </cfRule>
  </conditionalFormatting>
  <dataValidations xWindow="95" yWindow="532" count="13">
    <dataValidation allowBlank="1" showInputMessage="1" showErrorMessage="1" prompt="El calendario de febrero resalta automáticamente las entradas de la lista de tareas para el mes. Las fuentes más oscuras indican tareas. Las fuentes más claras indican días que pertenecen al mes anterior o siguiente." sqref="B2" xr:uid="{00000000-0002-0000-0100-000000000000}"/>
    <dataValidation allowBlank="1" showInputMessage="1" showErrorMessage="1" prompt="El año se actualiza automáticamente. Para cambiar el año, actualice la celda B1 en la hoja de cálculo de Ene." sqref="B1" xr:uid="{00000000-0002-0000-0100-000001000000}"/>
    <dataValidation allowBlank="1" showInputMessage="1" showErrorMessage="1" prompt="Prepare una programación semanal y cree una lista de tareas en esta hoja de cálculo. Las tareas se resaltan automáticamente en el calendario mensual del año especificado en B1 de la hoja de cálculo de Ene." sqref="A1" xr:uid="{00000000-0002-0000-0100-000002000000}"/>
    <dataValidation allowBlank="1" showInputMessage="1" showErrorMessage="1" prompt="Las celdas C2 a I2 contienen días de la semana." sqref="C2" xr:uid="{00000000-0002-0000-0100-000003000000}"/>
    <dataValidation allowBlank="1" showInputMessage="1" showErrorMessage="1" prompt="Si esta celda no contiene el número 1, se trata de un día del mes anterior. Las celdas C3 a I8 contienen fechas para el mes actual." sqref="C3" xr:uid="{00000000-0002-0000-0100-000004000000}"/>
    <dataValidation allowBlank="1" showInputMessage="1" showErrorMessage="1" prompt="Si esta fila contiene un número menor que el número o la fila de números anterior, en ese caso, esta fila contiene fechas para el próximo mes del calendario." sqref="C8" xr:uid="{00000000-0002-0000-0100-000005000000}"/>
    <dataValidation allowBlank="1" showInputMessage="1" showErrorMessage="1" prompt="Escriba la hora en esta fila, de la columna B a la I." sqref="B12" xr:uid="{00000000-0002-0000-0100-000006000000}"/>
    <dataValidation allowBlank="1" showInputMessage="1" showErrorMessage="1" prompt="Escriba la clase en esta fila, de la columna B a la I." sqref="B13" xr:uid="{00000000-0002-0000-0100-000007000000}"/>
    <dataValidation allowBlank="1" showInputMessage="1" showErrorMessage="1" prompt="Los días de la semana se agrupan en esta columna con 6 filas para las tareas para cada día laborable agrupado del mes. Inserte las nuevas filas para agregar más tareas. El calendario a la izquierda resaltará elementos." sqref="J1" xr:uid="{00000000-0002-0000-0100-000008000000}"/>
    <dataValidation allowBlank="1" showInputMessage="1" showErrorMessage="1" prompt="Escriba en esta columna los detalles de la tarea correspondientes al día de la semana de la columna J y al día de la columna K del mes del calendario de la izquierda." sqref="L1" xr:uid="{00000000-0002-0000-0100-000009000000}"/>
    <dataValidation allowBlank="1" showInputMessage="1" showErrorMessage="1" prompt="Escriba en esta columna el día de la tarea del mes que corresponda al día de la semana de la columna J. Esta fecha resaltará la tarea en el calendario de la izquierda." sqref="K1" xr:uid="{00000000-0002-0000-0100-00000A000000}"/>
    <dataValidation allowBlank="1" showInputMessage="1" showErrorMessage="1" prompt="Los días de la semana se encuentran en esta fila, del lunes al viernes." sqref="B11" xr:uid="{00000000-0002-0000-0100-00000B000000}"/>
    <dataValidation allowBlank="1" showInputMessage="1" showErrorMessage="1" prompt="Escriba la hora de la clase y debajo, en una nueva fila, el nombre de clase para cada día de la semana en las columnas B a I. Repita este patrón para todas las clases en las filas posteriores." sqref="B10" xr:uid="{00000000-0002-0000-0100-00000C000000}"/>
  </dataValidations>
  <printOptions horizontalCentered="1" verticalCentered="1"/>
  <pageMargins left="0.5" right="0.5" top="0.5" bottom="0.5" header="0.3" footer="0.3"/>
  <pageSetup paperSize="9" scale="58" orientation="landscape" r:id="rId1"/>
  <headerFooter differentFirst="1">
    <oddFooter>Page &amp;P of &amp;N</oddFooter>
  </headerFooter>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4"/>
    <pageSetUpPr fitToPage="1"/>
  </sheetPr>
  <dimension ref="A1:L31"/>
  <sheetViews>
    <sheetView showGridLines="0" topLeftCell="A13" zoomScale="70" zoomScaleNormal="70" zoomScalePageLayoutView="84" workbookViewId="0">
      <selection activeCell="B1" sqref="B1:L1"/>
    </sheetView>
  </sheetViews>
  <sheetFormatPr baseColWidth="10" defaultColWidth="8.625" defaultRowHeight="30" customHeight="1" x14ac:dyDescent="0.2"/>
  <cols>
    <col min="1" max="1" width="2.625" style="1" customWidth="1"/>
    <col min="2" max="2" width="20.625" style="17" customWidth="1"/>
    <col min="3" max="8" width="10.625" style="1" customWidth="1"/>
    <col min="9" max="9" width="20.625" style="1" customWidth="1"/>
    <col min="10" max="10" width="10.625" style="17" customWidth="1"/>
    <col min="11" max="11" width="10.625" style="2" customWidth="1"/>
    <col min="12" max="12" width="70.625" style="1" customWidth="1"/>
    <col min="13" max="13" width="2.625" customWidth="1"/>
  </cols>
  <sheetData>
    <row r="1" spans="1:12" ht="30" customHeight="1" x14ac:dyDescent="0.2">
      <c r="A1" s="17"/>
      <c r="B1" s="60">
        <f ca="1">AñoCalendario</f>
        <v>2018</v>
      </c>
      <c r="C1" s="61"/>
      <c r="D1" s="61"/>
      <c r="E1" s="61"/>
      <c r="F1" s="61"/>
      <c r="G1" s="61"/>
      <c r="H1" s="61"/>
      <c r="I1" s="61"/>
      <c r="J1" s="62" t="s">
        <v>0</v>
      </c>
      <c r="K1" s="62" t="s">
        <v>14</v>
      </c>
      <c r="L1" s="63" t="s">
        <v>53</v>
      </c>
    </row>
    <row r="2" spans="1:12" ht="30" customHeight="1" x14ac:dyDescent="0.25">
      <c r="A2" s="13"/>
      <c r="B2" s="64" t="s">
        <v>19</v>
      </c>
      <c r="C2" s="7" t="s">
        <v>29</v>
      </c>
      <c r="D2" s="7" t="s">
        <v>30</v>
      </c>
      <c r="E2" s="7" t="s">
        <v>31</v>
      </c>
      <c r="F2" s="7" t="s">
        <v>32</v>
      </c>
      <c r="G2" s="7" t="s">
        <v>33</v>
      </c>
      <c r="H2" s="7" t="s">
        <v>34</v>
      </c>
      <c r="I2" s="7" t="s">
        <v>35</v>
      </c>
      <c r="J2" s="10" t="s">
        <v>29</v>
      </c>
      <c r="K2" s="42">
        <v>19</v>
      </c>
      <c r="L2" s="49" t="s">
        <v>36</v>
      </c>
    </row>
    <row r="3" spans="1:12" ht="30" customHeight="1" x14ac:dyDescent="0.25">
      <c r="A3" s="13"/>
      <c r="C3" s="6">
        <f ca="1">IF(DAY(MarDom1)=1,MarDom1-6,MarDom1+1)</f>
        <v>43157</v>
      </c>
      <c r="D3" s="6">
        <f ca="1">IF(DAY(MarDom1)=1,MarDom1-5,MarDom1+2)</f>
        <v>43158</v>
      </c>
      <c r="E3" s="6">
        <f ca="1">IF(DAY(MarDom1)=1,MarDom1-4,MarDom1+3)</f>
        <v>43159</v>
      </c>
      <c r="F3" s="6">
        <f ca="1">IF(DAY(MarDom1)=1,MarDom1-3,MarDom1+4)</f>
        <v>43160</v>
      </c>
      <c r="G3" s="6">
        <f ca="1">IF(DAY(MarDom1)=1,MarDom1-2,MarDom1+5)</f>
        <v>43161</v>
      </c>
      <c r="H3" s="6">
        <f ca="1">IF(DAY(MarDom1)=1,MarDom1-1,MarDom1+6)</f>
        <v>43162</v>
      </c>
      <c r="I3" s="6">
        <f ca="1">IF(DAY(MarDom1)=1,MarDom1,MarDom1+7)</f>
        <v>43163</v>
      </c>
      <c r="J3" s="10"/>
      <c r="K3" s="36"/>
      <c r="L3" s="49"/>
    </row>
    <row r="4" spans="1:12" ht="30" customHeight="1" x14ac:dyDescent="0.25">
      <c r="A4" s="13"/>
      <c r="C4" s="6">
        <f ca="1">IF(DAY(MarDom1)=1,MarDom1+1,MarDom1+8)</f>
        <v>43164</v>
      </c>
      <c r="D4" s="6">
        <f ca="1">IF(DAY(MarDom1)=1,MarDom1+2,MarDom1+9)</f>
        <v>43165</v>
      </c>
      <c r="E4" s="6">
        <f ca="1">IF(DAY(MarDom1)=1,MarDom1+3,MarDom1+10)</f>
        <v>43166</v>
      </c>
      <c r="F4" s="6">
        <f ca="1">IF(DAY(MarDom1)=1,MarDom1+4,MarDom1+11)</f>
        <v>43167</v>
      </c>
      <c r="G4" s="6">
        <f ca="1">IF(DAY(MarDom1)=1,MarDom1+5,MarDom1+12)</f>
        <v>43168</v>
      </c>
      <c r="H4" s="6">
        <f ca="1">IF(DAY(MarDom1)=1,MarDom1+6,MarDom1+13)</f>
        <v>43169</v>
      </c>
      <c r="I4" s="6">
        <f ca="1">IF(DAY(MarDom1)=1,MarDom1+7,MarDom1+14)</f>
        <v>43170</v>
      </c>
      <c r="J4" s="10"/>
      <c r="K4" s="36"/>
      <c r="L4" s="49"/>
    </row>
    <row r="5" spans="1:12" ht="30" customHeight="1" x14ac:dyDescent="0.25">
      <c r="A5" s="13"/>
      <c r="C5" s="6">
        <f ca="1">IF(DAY(MarDom1)=1,MarDom1+8,MarDom1+15)</f>
        <v>43171</v>
      </c>
      <c r="D5" s="6">
        <f ca="1">IF(DAY(MarDom1)=1,MarDom1+9,MarDom1+16)</f>
        <v>43172</v>
      </c>
      <c r="E5" s="6">
        <f ca="1">IF(DAY(MarDom1)=1,MarDom1+10,MarDom1+17)</f>
        <v>43173</v>
      </c>
      <c r="F5" s="6">
        <f ca="1">IF(DAY(MarDom1)=1,MarDom1+11,MarDom1+18)</f>
        <v>43174</v>
      </c>
      <c r="G5" s="6">
        <f ca="1">IF(DAY(MarDom1)=1,MarDom1+12,MarDom1+19)</f>
        <v>43175</v>
      </c>
      <c r="H5" s="6">
        <f ca="1">IF(DAY(MarDom1)=1,MarDom1+13,MarDom1+20)</f>
        <v>43176</v>
      </c>
      <c r="I5" s="6">
        <f ca="1">IF(DAY(MarDom1)=1,MarDom1+14,MarDom1+21)</f>
        <v>43177</v>
      </c>
      <c r="J5" s="10"/>
      <c r="K5" s="36"/>
      <c r="L5" s="49"/>
    </row>
    <row r="6" spans="1:12" ht="30" customHeight="1" x14ac:dyDescent="0.25">
      <c r="A6" s="13"/>
      <c r="C6" s="6">
        <f ca="1">IF(DAY(MarDom1)=1,MarDom1+15,MarDom1+22)</f>
        <v>43178</v>
      </c>
      <c r="D6" s="6">
        <f ca="1">IF(DAY(MarDom1)=1,MarDom1+16,MarDom1+23)</f>
        <v>43179</v>
      </c>
      <c r="E6" s="6">
        <f ca="1">IF(DAY(MarDom1)=1,MarDom1+17,MarDom1+24)</f>
        <v>43180</v>
      </c>
      <c r="F6" s="6">
        <f ca="1">IF(DAY(MarDom1)=1,MarDom1+18,MarDom1+25)</f>
        <v>43181</v>
      </c>
      <c r="G6" s="6">
        <f ca="1">IF(DAY(MarDom1)=1,MarDom1+19,MarDom1+26)</f>
        <v>43182</v>
      </c>
      <c r="H6" s="6">
        <f ca="1">IF(DAY(MarDom1)=1,MarDom1+20,MarDom1+27)</f>
        <v>43183</v>
      </c>
      <c r="I6" s="6">
        <f ca="1">IF(DAY(MarDom1)=1,MarDom1+21,MarDom1+28)</f>
        <v>43184</v>
      </c>
      <c r="J6" s="10"/>
      <c r="K6" s="36"/>
      <c r="L6" s="49"/>
    </row>
    <row r="7" spans="1:12" ht="30" customHeight="1" x14ac:dyDescent="0.25">
      <c r="A7" s="13"/>
      <c r="C7" s="6">
        <f ca="1">IF(DAY(MarDom1)=1,MarDom1+22,MarDom1+29)</f>
        <v>43185</v>
      </c>
      <c r="D7" s="6">
        <f ca="1">IF(DAY(MarDom1)=1,MarDom1+23,MarDom1+30)</f>
        <v>43186</v>
      </c>
      <c r="E7" s="6">
        <f ca="1">IF(DAY(MarDom1)=1,MarDom1+24,MarDom1+31)</f>
        <v>43187</v>
      </c>
      <c r="F7" s="6">
        <f ca="1">IF(DAY(MarDom1)=1,MarDom1+25,MarDom1+32)</f>
        <v>43188</v>
      </c>
      <c r="G7" s="6">
        <f ca="1">IF(DAY(MarDom1)=1,MarDom1+26,MarDom1+33)</f>
        <v>43189</v>
      </c>
      <c r="H7" s="6">
        <f ca="1">IF(DAY(MarDom1)=1,MarDom1+27,MarDom1+34)</f>
        <v>43190</v>
      </c>
      <c r="I7" s="6">
        <f ca="1">IF(DAY(MarDom1)=1,MarDom1+28,MarDom1+35)</f>
        <v>43191</v>
      </c>
      <c r="J7" s="20"/>
      <c r="K7" s="35"/>
      <c r="L7" s="18"/>
    </row>
    <row r="8" spans="1:12" ht="30" customHeight="1" x14ac:dyDescent="0.25">
      <c r="A8" s="13"/>
      <c r="B8" s="18"/>
      <c r="C8" s="6">
        <f ca="1">IF(DAY(MarDom1)=1,MarDom1+29,MarDom1+36)</f>
        <v>43192</v>
      </c>
      <c r="D8" s="6">
        <f ca="1">IF(DAY(MarDom1)=1,MarDom1+30,MarDom1+37)</f>
        <v>43193</v>
      </c>
      <c r="E8" s="6">
        <f ca="1">IF(DAY(MarDom1)=1,MarDom1+31,MarDom1+38)</f>
        <v>43194</v>
      </c>
      <c r="F8" s="6">
        <f ca="1">IF(DAY(MarDom1)=1,MarDom1+32,MarDom1+39)</f>
        <v>43195</v>
      </c>
      <c r="G8" s="6">
        <f ca="1">IF(DAY(MarDom1)=1,MarDom1+33,MarDom1+40)</f>
        <v>43196</v>
      </c>
      <c r="H8" s="6">
        <f ca="1">IF(DAY(MarDom1)=1,MarDom1+34,MarDom1+41)</f>
        <v>43197</v>
      </c>
      <c r="I8" s="6">
        <f ca="1">IF(DAY(MarDom1)=1,MarDom1+35,MarDom1+42)</f>
        <v>43198</v>
      </c>
      <c r="J8" s="10" t="s">
        <v>30</v>
      </c>
      <c r="K8" s="37">
        <v>20</v>
      </c>
      <c r="L8" s="49" t="s">
        <v>37</v>
      </c>
    </row>
    <row r="9" spans="1:12" ht="30" customHeight="1" x14ac:dyDescent="0.25">
      <c r="A9" s="13"/>
      <c r="C9" s="4"/>
      <c r="D9" s="4"/>
      <c r="E9" s="4"/>
      <c r="F9" s="4"/>
      <c r="G9" s="4"/>
      <c r="H9" s="4"/>
      <c r="I9" s="4"/>
      <c r="J9" s="10"/>
      <c r="K9" s="36">
        <v>27</v>
      </c>
      <c r="L9" s="49" t="s">
        <v>39</v>
      </c>
    </row>
    <row r="10" spans="1:12" ht="30" customHeight="1" x14ac:dyDescent="0.25">
      <c r="A10" s="13"/>
      <c r="B10" s="16" t="s">
        <v>4</v>
      </c>
      <c r="C10" s="9"/>
      <c r="D10" s="9"/>
      <c r="E10" s="9"/>
      <c r="F10" s="9"/>
      <c r="G10" s="9"/>
      <c r="H10" s="9"/>
      <c r="I10" s="9"/>
      <c r="J10" s="10"/>
      <c r="K10" s="36"/>
      <c r="L10" s="49"/>
    </row>
    <row r="11" spans="1:12" ht="30" customHeight="1" x14ac:dyDescent="0.25">
      <c r="A11" s="26" t="s">
        <v>0</v>
      </c>
      <c r="B11" s="25" t="s">
        <v>29</v>
      </c>
      <c r="C11" s="67" t="s">
        <v>30</v>
      </c>
      <c r="D11" s="68"/>
      <c r="E11" s="67" t="s">
        <v>31</v>
      </c>
      <c r="F11" s="68"/>
      <c r="G11" s="67" t="s">
        <v>32</v>
      </c>
      <c r="H11" s="68"/>
      <c r="I11" s="3" t="s">
        <v>33</v>
      </c>
      <c r="J11" s="10"/>
      <c r="K11" s="36"/>
      <c r="L11" s="49"/>
    </row>
    <row r="12" spans="1:12" ht="30" customHeight="1" x14ac:dyDescent="0.25">
      <c r="A12" s="26" t="s">
        <v>1</v>
      </c>
      <c r="B12" s="21"/>
      <c r="C12" s="76"/>
      <c r="D12" s="76"/>
      <c r="E12" s="76"/>
      <c r="F12" s="76"/>
      <c r="G12" s="76"/>
      <c r="H12" s="76"/>
      <c r="I12" s="22"/>
      <c r="J12" s="10"/>
      <c r="K12" s="36"/>
      <c r="L12" s="49"/>
    </row>
    <row r="13" spans="1:12" ht="30" customHeight="1" x14ac:dyDescent="0.25">
      <c r="A13" s="26" t="s">
        <v>2</v>
      </c>
      <c r="B13" s="27"/>
      <c r="C13" s="70"/>
      <c r="D13" s="70"/>
      <c r="E13" s="70"/>
      <c r="F13" s="70"/>
      <c r="G13" s="70"/>
      <c r="H13" s="70"/>
      <c r="I13" s="30"/>
      <c r="J13" s="20"/>
      <c r="K13" s="35"/>
      <c r="L13" s="18"/>
    </row>
    <row r="14" spans="1:12" ht="30" customHeight="1" x14ac:dyDescent="0.25">
      <c r="A14" s="26" t="s">
        <v>1</v>
      </c>
      <c r="B14" s="21"/>
      <c r="C14" s="76"/>
      <c r="D14" s="76"/>
      <c r="E14" s="76"/>
      <c r="F14" s="76"/>
      <c r="G14" s="76"/>
      <c r="H14" s="76"/>
      <c r="I14" s="22">
        <v>0.76041666666666663</v>
      </c>
      <c r="J14" s="10" t="s">
        <v>31</v>
      </c>
      <c r="K14" s="37"/>
      <c r="L14" s="49"/>
    </row>
    <row r="15" spans="1:12" ht="30" customHeight="1" x14ac:dyDescent="0.25">
      <c r="A15" s="26" t="s">
        <v>2</v>
      </c>
      <c r="B15" s="27"/>
      <c r="C15" s="70"/>
      <c r="D15" s="70"/>
      <c r="E15" s="70"/>
      <c r="F15" s="70"/>
      <c r="G15" s="70"/>
      <c r="H15" s="70"/>
      <c r="I15" s="27" t="s">
        <v>38</v>
      </c>
      <c r="J15" s="10"/>
      <c r="K15" s="36"/>
      <c r="L15" s="49"/>
    </row>
    <row r="16" spans="1:12" ht="30" customHeight="1" x14ac:dyDescent="0.25">
      <c r="A16" s="26" t="s">
        <v>1</v>
      </c>
      <c r="B16" s="21"/>
      <c r="C16" s="76"/>
      <c r="D16" s="76"/>
      <c r="E16" s="76"/>
      <c r="F16" s="76"/>
      <c r="G16" s="76"/>
      <c r="H16" s="76"/>
      <c r="I16" s="24">
        <v>0.82291666666666663</v>
      </c>
      <c r="J16" s="10"/>
      <c r="K16" s="36"/>
      <c r="L16" s="49"/>
    </row>
    <row r="17" spans="1:12" ht="30" customHeight="1" x14ac:dyDescent="0.25">
      <c r="A17" s="26" t="s">
        <v>2</v>
      </c>
      <c r="B17" s="27"/>
      <c r="C17" s="70"/>
      <c r="D17" s="70"/>
      <c r="E17" s="70"/>
      <c r="F17" s="70"/>
      <c r="G17" s="70"/>
      <c r="H17" s="70"/>
      <c r="I17" s="27" t="s">
        <v>41</v>
      </c>
      <c r="J17" s="10"/>
      <c r="K17" s="36"/>
      <c r="L17" s="49"/>
    </row>
    <row r="18" spans="1:12" ht="30" customHeight="1" x14ac:dyDescent="0.25">
      <c r="A18" s="26" t="s">
        <v>1</v>
      </c>
      <c r="B18" s="21"/>
      <c r="C18" s="76">
        <v>0.82986111111111116</v>
      </c>
      <c r="D18" s="76"/>
      <c r="E18" s="76"/>
      <c r="F18" s="76"/>
      <c r="G18" s="76"/>
      <c r="H18" s="76"/>
      <c r="I18" s="22"/>
      <c r="J18" s="10"/>
      <c r="K18" s="36"/>
      <c r="L18" s="49"/>
    </row>
    <row r="19" spans="1:12" ht="30" customHeight="1" x14ac:dyDescent="0.25">
      <c r="A19" s="26" t="s">
        <v>2</v>
      </c>
      <c r="B19" s="27"/>
      <c r="C19" s="77" t="s">
        <v>42</v>
      </c>
      <c r="D19" s="70"/>
      <c r="E19" s="70"/>
      <c r="F19" s="70"/>
      <c r="G19" s="70"/>
      <c r="H19" s="70"/>
      <c r="I19" s="47"/>
      <c r="J19" s="20"/>
      <c r="K19" s="35"/>
      <c r="L19" s="50"/>
    </row>
    <row r="20" spans="1:12" ht="30" customHeight="1" x14ac:dyDescent="0.25">
      <c r="A20" s="26" t="s">
        <v>1</v>
      </c>
      <c r="B20" s="21"/>
      <c r="C20" s="76">
        <v>0.875</v>
      </c>
      <c r="D20" s="76"/>
      <c r="E20" s="76"/>
      <c r="F20" s="76"/>
      <c r="G20" s="76"/>
      <c r="H20" s="76"/>
      <c r="I20" s="22"/>
      <c r="J20" s="10" t="s">
        <v>32</v>
      </c>
      <c r="K20" s="37">
        <v>29</v>
      </c>
      <c r="L20" s="49" t="s">
        <v>45</v>
      </c>
    </row>
    <row r="21" spans="1:12" ht="30" customHeight="1" x14ac:dyDescent="0.25">
      <c r="A21" s="26" t="s">
        <v>2</v>
      </c>
      <c r="B21" s="27"/>
      <c r="C21" s="77" t="s">
        <v>41</v>
      </c>
      <c r="D21" s="70"/>
      <c r="E21" s="70"/>
      <c r="F21" s="70"/>
      <c r="G21" s="70"/>
      <c r="H21" s="70"/>
      <c r="I21" s="30"/>
      <c r="J21" s="10"/>
      <c r="K21" s="36"/>
      <c r="L21" s="49"/>
    </row>
    <row r="22" spans="1:12" ht="30" customHeight="1" x14ac:dyDescent="0.25">
      <c r="A22" s="26" t="s">
        <v>1</v>
      </c>
      <c r="B22" s="21"/>
      <c r="C22" s="76" t="s">
        <v>43</v>
      </c>
      <c r="D22" s="76"/>
      <c r="E22" s="76"/>
      <c r="F22" s="76"/>
      <c r="G22" s="76"/>
      <c r="H22" s="76"/>
      <c r="I22" s="22"/>
      <c r="J22" s="10"/>
      <c r="K22" s="36"/>
      <c r="L22" s="49"/>
    </row>
    <row r="23" spans="1:12" ht="30" customHeight="1" x14ac:dyDescent="0.25">
      <c r="A23" s="26" t="s">
        <v>2</v>
      </c>
      <c r="B23" s="27"/>
      <c r="C23" s="78">
        <v>0.96180555555555547</v>
      </c>
      <c r="D23" s="70"/>
      <c r="E23" s="70"/>
      <c r="F23" s="70"/>
      <c r="G23" s="70"/>
      <c r="H23" s="70"/>
      <c r="I23" s="30"/>
      <c r="J23" s="10"/>
      <c r="K23" s="36"/>
      <c r="L23" s="49"/>
    </row>
    <row r="24" spans="1:12" ht="30" customHeight="1" x14ac:dyDescent="0.25">
      <c r="A24" s="26" t="s">
        <v>1</v>
      </c>
      <c r="B24" s="21"/>
      <c r="C24" s="76"/>
      <c r="D24" s="76"/>
      <c r="E24" s="76"/>
      <c r="F24" s="76"/>
      <c r="G24" s="76"/>
      <c r="H24" s="76"/>
      <c r="I24" s="22"/>
      <c r="J24" s="10"/>
      <c r="K24" s="36"/>
      <c r="L24" s="49"/>
    </row>
    <row r="25" spans="1:12" ht="30" customHeight="1" x14ac:dyDescent="0.25">
      <c r="A25" s="26" t="s">
        <v>2</v>
      </c>
      <c r="B25" s="27"/>
      <c r="C25" s="70"/>
      <c r="D25" s="70"/>
      <c r="E25" s="70"/>
      <c r="F25" s="70"/>
      <c r="G25" s="70"/>
      <c r="H25" s="70"/>
      <c r="I25" s="30"/>
      <c r="J25" s="20"/>
      <c r="K25" s="35"/>
      <c r="L25" s="50"/>
    </row>
    <row r="26" spans="1:12" ht="30" customHeight="1" x14ac:dyDescent="0.25">
      <c r="A26" s="26" t="s">
        <v>1</v>
      </c>
      <c r="B26" s="21"/>
      <c r="C26" s="76"/>
      <c r="D26" s="76"/>
      <c r="E26" s="76"/>
      <c r="F26" s="76"/>
      <c r="G26" s="76"/>
      <c r="H26" s="76"/>
      <c r="I26" s="22"/>
      <c r="J26" s="10" t="s">
        <v>33</v>
      </c>
      <c r="K26" s="37">
        <v>23</v>
      </c>
      <c r="L26" s="49" t="s">
        <v>40</v>
      </c>
    </row>
    <row r="27" spans="1:12" ht="30" customHeight="1" x14ac:dyDescent="0.25">
      <c r="A27" s="26" t="s">
        <v>2</v>
      </c>
      <c r="B27" s="27"/>
      <c r="C27" s="70"/>
      <c r="D27" s="70"/>
      <c r="E27" s="70"/>
      <c r="F27" s="70"/>
      <c r="G27" s="70"/>
      <c r="H27" s="70"/>
      <c r="I27" s="30"/>
      <c r="J27" s="10"/>
      <c r="K27" s="36">
        <v>30</v>
      </c>
      <c r="L27" s="49" t="s">
        <v>44</v>
      </c>
    </row>
    <row r="28" spans="1:12" ht="30" customHeight="1" x14ac:dyDescent="0.25">
      <c r="A28" s="26" t="s">
        <v>1</v>
      </c>
      <c r="B28" s="21"/>
      <c r="C28" s="76"/>
      <c r="D28" s="76"/>
      <c r="E28" s="76"/>
      <c r="F28" s="76"/>
      <c r="G28" s="76"/>
      <c r="H28" s="76"/>
      <c r="I28" s="22"/>
      <c r="J28" s="10"/>
      <c r="K28" s="36"/>
      <c r="L28" s="49"/>
    </row>
    <row r="29" spans="1:12" ht="30" customHeight="1" x14ac:dyDescent="0.25">
      <c r="A29" s="26" t="s">
        <v>2</v>
      </c>
      <c r="B29" s="27"/>
      <c r="C29" s="70"/>
      <c r="D29" s="70"/>
      <c r="E29" s="70"/>
      <c r="F29" s="70"/>
      <c r="G29" s="70"/>
      <c r="H29" s="70"/>
      <c r="I29" s="30"/>
      <c r="J29" s="10"/>
      <c r="K29" s="36"/>
      <c r="L29" s="49"/>
    </row>
    <row r="30" spans="1:12" ht="30" customHeight="1" x14ac:dyDescent="0.25">
      <c r="A30" s="26" t="s">
        <v>1</v>
      </c>
      <c r="B30" s="21"/>
      <c r="C30" s="76"/>
      <c r="D30" s="76"/>
      <c r="E30" s="76"/>
      <c r="F30" s="76"/>
      <c r="G30" s="76"/>
      <c r="H30" s="76"/>
      <c r="I30" s="22"/>
      <c r="J30" s="10"/>
      <c r="K30" s="36"/>
      <c r="L30" s="49"/>
    </row>
    <row r="31" spans="1:12" ht="30" customHeight="1" x14ac:dyDescent="0.25">
      <c r="A31" s="26" t="s">
        <v>2</v>
      </c>
      <c r="B31" s="28"/>
      <c r="C31" s="72"/>
      <c r="D31" s="72"/>
      <c r="E31" s="72"/>
      <c r="F31" s="72"/>
      <c r="G31" s="72"/>
      <c r="H31" s="72"/>
      <c r="I31" s="29"/>
      <c r="J31" s="10"/>
      <c r="K31" s="42"/>
      <c r="L31" s="51"/>
    </row>
  </sheetData>
  <mergeCells count="63">
    <mergeCell ref="C31:D31"/>
    <mergeCell ref="E31:F31"/>
    <mergeCell ref="G31:H31"/>
    <mergeCell ref="C29:D29"/>
    <mergeCell ref="E29:F29"/>
    <mergeCell ref="G29:H29"/>
    <mergeCell ref="C30:D30"/>
    <mergeCell ref="E30:F30"/>
    <mergeCell ref="G30:H30"/>
    <mergeCell ref="C27:D27"/>
    <mergeCell ref="E27:F27"/>
    <mergeCell ref="G27:H27"/>
    <mergeCell ref="C28:D28"/>
    <mergeCell ref="E28:F28"/>
    <mergeCell ref="G28:H28"/>
    <mergeCell ref="C25:D25"/>
    <mergeCell ref="E25:F25"/>
    <mergeCell ref="G25:H25"/>
    <mergeCell ref="C26:D26"/>
    <mergeCell ref="E26:F26"/>
    <mergeCell ref="G26:H26"/>
    <mergeCell ref="C23:D23"/>
    <mergeCell ref="E23:F23"/>
    <mergeCell ref="G23:H23"/>
    <mergeCell ref="C24:D24"/>
    <mergeCell ref="E24:F24"/>
    <mergeCell ref="G24:H24"/>
    <mergeCell ref="C21:D21"/>
    <mergeCell ref="E21:F21"/>
    <mergeCell ref="G21:H21"/>
    <mergeCell ref="C22:D22"/>
    <mergeCell ref="E22:F22"/>
    <mergeCell ref="G22:H22"/>
    <mergeCell ref="C19:D19"/>
    <mergeCell ref="E19:F19"/>
    <mergeCell ref="G19:H19"/>
    <mergeCell ref="C20:D20"/>
    <mergeCell ref="E20:F20"/>
    <mergeCell ref="G20:H20"/>
    <mergeCell ref="C17:D17"/>
    <mergeCell ref="E17:F17"/>
    <mergeCell ref="G17:H17"/>
    <mergeCell ref="C18:D18"/>
    <mergeCell ref="E18:F18"/>
    <mergeCell ref="G18:H18"/>
    <mergeCell ref="C15:D15"/>
    <mergeCell ref="E15:F15"/>
    <mergeCell ref="G15:H15"/>
    <mergeCell ref="C16:D16"/>
    <mergeCell ref="E16:F16"/>
    <mergeCell ref="G16:H16"/>
    <mergeCell ref="C13:D13"/>
    <mergeCell ref="E13:F13"/>
    <mergeCell ref="G13:H13"/>
    <mergeCell ref="C14:D14"/>
    <mergeCell ref="E14:F14"/>
    <mergeCell ref="G14:H14"/>
    <mergeCell ref="C11:D11"/>
    <mergeCell ref="E11:F11"/>
    <mergeCell ref="G11:H11"/>
    <mergeCell ref="C12:D12"/>
    <mergeCell ref="E12:F12"/>
    <mergeCell ref="G12:H12"/>
  </mergeCells>
  <conditionalFormatting sqref="C3:H3">
    <cfRule type="expression" dxfId="71" priority="6" stopIfTrue="1">
      <formula>DAY(C3)&gt;8</formula>
    </cfRule>
  </conditionalFormatting>
  <conditionalFormatting sqref="C7:I8">
    <cfRule type="expression" dxfId="70" priority="5" stopIfTrue="1">
      <formula>AND(DAY(C7)&gt;=1,DAY(C7)&lt;=15)</formula>
    </cfRule>
  </conditionalFormatting>
  <conditionalFormatting sqref="C3:I8">
    <cfRule type="expression" dxfId="69" priority="7">
      <formula>VLOOKUP(DAY(C3),AssignmentDays,1,FALSE)=DAY(C3)</formula>
    </cfRule>
  </conditionalFormatting>
  <conditionalFormatting sqref="B13:I13 B15:I15 B17:I17 B19:I19 B21:I21 B23:I23 B25:I25 B27:I27 B29:I29 B31:I31">
    <cfRule type="expression" dxfId="68" priority="4">
      <formula>B13&lt;&gt;""</formula>
    </cfRule>
  </conditionalFormatting>
  <conditionalFormatting sqref="B12:I12 B14:I14 B16:I16 B18:I18 B20:I20 B22:I22 B24:I24 B26:I26 B28:I28 B30:I30">
    <cfRule type="expression" dxfId="67" priority="3">
      <formula>B12&lt;&gt;""</formula>
    </cfRule>
  </conditionalFormatting>
  <conditionalFormatting sqref="B13:I13 B15:I15 B17:I17 B19:I19 B21:I21 B23:I23 B25:I25 B27:I27 B29:I29">
    <cfRule type="expression" dxfId="66" priority="2">
      <formula>COLUMN(B12)&gt;=2</formula>
    </cfRule>
  </conditionalFormatting>
  <conditionalFormatting sqref="B12:I31">
    <cfRule type="expression" dxfId="65" priority="1">
      <formula>COLUMN(B12)&gt;2</formula>
    </cfRule>
  </conditionalFormatting>
  <dataValidations xWindow="135" yWindow="352" count="13">
    <dataValidation allowBlank="1" showInputMessage="1" showErrorMessage="1" prompt="Escriba la clase en esta fila, de la columna B a la I." sqref="B13" xr:uid="{00000000-0002-0000-0200-000000000000}"/>
    <dataValidation allowBlank="1" showInputMessage="1" showErrorMessage="1" prompt="Escriba la hora en esta fila, de la columna B a la I." sqref="B12" xr:uid="{00000000-0002-0000-0200-000001000000}"/>
    <dataValidation allowBlank="1" showInputMessage="1" showErrorMessage="1" prompt="Si esta fila contiene un número menor que el número o la fila de números anterior, en ese caso, esta fila contiene fechas para el próximo mes del calendario." sqref="C8" xr:uid="{00000000-0002-0000-0200-000002000000}"/>
    <dataValidation allowBlank="1" showInputMessage="1" showErrorMessage="1" prompt="Si esta celda no contiene el número 1, se trata de un día del mes anterior. Las celdas C3 a I8 contienen fechas para el mes actual." sqref="C3" xr:uid="{00000000-0002-0000-0200-000003000000}"/>
    <dataValidation allowBlank="1" showInputMessage="1" showErrorMessage="1" prompt="Las celdas C2 a I2 contienen días de la semana." sqref="C2" xr:uid="{00000000-0002-0000-0200-000004000000}"/>
    <dataValidation allowBlank="1" showInputMessage="1" showErrorMessage="1" prompt="Prepare una programación semanal y cree una lista de tareas en esta hoja de cálculo. Las tareas se resaltan automáticamente en el calendario mensual del año especificado en B1 de la hoja de cálculo de Ene." sqref="A1" xr:uid="{00000000-0002-0000-0200-000005000000}"/>
    <dataValidation allowBlank="1" showInputMessage="1" showErrorMessage="1" prompt="El año se actualiza automáticamente. Para cambiar el año, actualice la celda B1 en la hoja de cálculo de Ene." sqref="B1" xr:uid="{00000000-0002-0000-0200-000006000000}"/>
    <dataValidation allowBlank="1" showInputMessage="1" showErrorMessage="1" prompt="El calendario de marzo resalta automáticamente las entradas de la lista de tareas para el mes. Las fuentes más oscuras indican tareas. Las fuentes más claras indican días que pertenecen al mes anterior o siguiente." sqref="B2" xr:uid="{00000000-0002-0000-0200-000007000000}"/>
    <dataValidation allowBlank="1" showInputMessage="1" showErrorMessage="1" prompt="Los días de la semana se agrupan en esta columna con 6 filas para las tareas para cada día laborable agrupado del mes. Inserte las nuevas filas para agregar más tareas. El calendario a la izquierda resaltará elementos." sqref="J1" xr:uid="{00000000-0002-0000-0200-000008000000}"/>
    <dataValidation allowBlank="1" showInputMessage="1" showErrorMessage="1" prompt="Escriba en esta columna los detalles de la tarea correspondientes al día de la semana de la columna J y al día de la columna K del mes del calendario de la izquierda." sqref="L1" xr:uid="{1E7F502D-4C81-4B81-ADCA-0D97416DC960}"/>
    <dataValidation allowBlank="1" showInputMessage="1" showErrorMessage="1" prompt="Escriba en esta columna el día de la tarea del mes que corresponda al día de la semana de la columna J. Esta fecha resaltará la tarea en el calendario de la izquierda." sqref="K1" xr:uid="{00000000-0002-0000-0200-00000A000000}"/>
    <dataValidation allowBlank="1" showInputMessage="1" showErrorMessage="1" prompt="Los días de la semana se encuentran en esta fila, del lunes al viernes." sqref="B11" xr:uid="{00000000-0002-0000-0200-00000B000000}"/>
    <dataValidation allowBlank="1" showInputMessage="1" showErrorMessage="1" prompt="Escriba la hora de la clase y debajo, en una nueva fila, el nombre de clase para cada día de la semana en las columnas B a I. Repita este patrón para todas las clases en las filas posteriores." sqref="B10" xr:uid="{00000000-0002-0000-0200-00000C000000}"/>
  </dataValidations>
  <printOptions horizontalCentered="1" verticalCentered="1"/>
  <pageMargins left="0.5" right="0.5" top="0.5" bottom="0.5" header="0.3" footer="0.3"/>
  <pageSetup paperSize="9" scale="58" orientation="landscape" r:id="rId1"/>
  <headerFooter differentFirst="1">
    <oddFooter>Page &amp;P of &amp;N</oddFooter>
  </headerFooter>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4"/>
    <pageSetUpPr fitToPage="1"/>
  </sheetPr>
  <dimension ref="A1:L31"/>
  <sheetViews>
    <sheetView showGridLines="0" zoomScale="70" zoomScaleNormal="70" zoomScalePageLayoutView="84" workbookViewId="0">
      <selection activeCell="G8" sqref="G8"/>
    </sheetView>
  </sheetViews>
  <sheetFormatPr baseColWidth="10" defaultColWidth="8.625" defaultRowHeight="30" customHeight="1" x14ac:dyDescent="0.25"/>
  <cols>
    <col min="1" max="1" width="2.625" style="1" customWidth="1"/>
    <col min="2" max="2" width="20.625" style="17" customWidth="1"/>
    <col min="3" max="8" width="10.625" style="1" customWidth="1"/>
    <col min="9" max="9" width="20.625" style="1" customWidth="1"/>
    <col min="10" max="10" width="10.625" style="10" customWidth="1"/>
    <col min="11" max="11" width="10.625" style="2" customWidth="1"/>
    <col min="12" max="12" width="70.625" style="1" customWidth="1"/>
    <col min="13" max="13" width="2.625" customWidth="1"/>
  </cols>
  <sheetData>
    <row r="1" spans="1:12" ht="30" customHeight="1" x14ac:dyDescent="0.2">
      <c r="A1" s="17"/>
      <c r="B1" s="60">
        <f ca="1">AñoCalendario</f>
        <v>2018</v>
      </c>
      <c r="C1" s="61"/>
      <c r="D1" s="61"/>
      <c r="E1" s="61"/>
      <c r="F1" s="61"/>
      <c r="G1" s="61"/>
      <c r="H1" s="61"/>
      <c r="I1" s="61"/>
      <c r="J1" s="62" t="s">
        <v>0</v>
      </c>
      <c r="K1" s="62" t="s">
        <v>14</v>
      </c>
      <c r="L1" s="63" t="s">
        <v>53</v>
      </c>
    </row>
    <row r="2" spans="1:12" ht="30" customHeight="1" x14ac:dyDescent="0.25">
      <c r="A2" s="13"/>
      <c r="B2" s="64" t="s">
        <v>20</v>
      </c>
      <c r="C2" s="7" t="s">
        <v>29</v>
      </c>
      <c r="D2" s="7" t="s">
        <v>30</v>
      </c>
      <c r="E2" s="7" t="s">
        <v>31</v>
      </c>
      <c r="F2" s="7" t="s">
        <v>32</v>
      </c>
      <c r="G2" s="7" t="s">
        <v>33</v>
      </c>
      <c r="H2" s="7" t="s">
        <v>34</v>
      </c>
      <c r="I2" s="7" t="s">
        <v>35</v>
      </c>
      <c r="J2" s="10" t="s">
        <v>29</v>
      </c>
      <c r="K2" s="42">
        <v>2</v>
      </c>
      <c r="L2" s="49" t="s">
        <v>46</v>
      </c>
    </row>
    <row r="3" spans="1:12" ht="30" customHeight="1" x14ac:dyDescent="0.25">
      <c r="A3" s="13"/>
      <c r="C3" s="6">
        <f ca="1">IF(DAY(AbrDom1)=1,AbrDom1-6,AbrDom1+1)</f>
        <v>43185</v>
      </c>
      <c r="D3" s="6">
        <f ca="1">IF(DAY(AbrDom1)=1,AbrDom1-5,AbrDom1+2)</f>
        <v>43186</v>
      </c>
      <c r="E3" s="6">
        <f ca="1">IF(DAY(AbrDom1)=1,AbrDom1-4,AbrDom1+3)</f>
        <v>43187</v>
      </c>
      <c r="F3" s="6">
        <f ca="1">IF(DAY(AbrDom1)=1,AbrDom1-3,AbrDom1+4)</f>
        <v>43188</v>
      </c>
      <c r="G3" s="6">
        <f ca="1">IF(DAY(AbrDom1)=1,AbrDom1-2,AbrDom1+5)</f>
        <v>43189</v>
      </c>
      <c r="H3" s="6">
        <f ca="1">IF(DAY(AbrDom1)=1,AbrDom1-1,AbrDom1+6)</f>
        <v>43190</v>
      </c>
      <c r="I3" s="6">
        <f ca="1">IF(DAY(AbrDom1)=1,AbrDom1,AbrDom1+7)</f>
        <v>43191</v>
      </c>
      <c r="K3" s="36"/>
      <c r="L3" s="49"/>
    </row>
    <row r="4" spans="1:12" ht="30" customHeight="1" x14ac:dyDescent="0.25">
      <c r="A4" s="13"/>
      <c r="C4" s="6">
        <f ca="1">IF(DAY(AbrDom1)=1,AbrDom1+1,AbrDom1+8)</f>
        <v>43192</v>
      </c>
      <c r="D4" s="6">
        <f ca="1">IF(DAY(AbrDom1)=1,AbrDom1+2,AbrDom1+9)</f>
        <v>43193</v>
      </c>
      <c r="E4" s="6">
        <f ca="1">IF(DAY(AbrDom1)=1,AbrDom1+3,AbrDom1+10)</f>
        <v>43194</v>
      </c>
      <c r="F4" s="6">
        <f ca="1">IF(DAY(AbrDom1)=1,AbrDom1+4,AbrDom1+11)</f>
        <v>43195</v>
      </c>
      <c r="G4" s="6">
        <f ca="1">IF(DAY(AbrDom1)=1,AbrDom1+5,AbrDom1+12)</f>
        <v>43196</v>
      </c>
      <c r="H4" s="6">
        <f ca="1">IF(DAY(AbrDom1)=1,AbrDom1+6,AbrDom1+13)</f>
        <v>43197</v>
      </c>
      <c r="I4" s="6">
        <f ca="1">IF(DAY(AbrDom1)=1,AbrDom1+7,AbrDom1+14)</f>
        <v>43198</v>
      </c>
      <c r="K4" s="36"/>
      <c r="L4" s="49"/>
    </row>
    <row r="5" spans="1:12" ht="30" customHeight="1" x14ac:dyDescent="0.25">
      <c r="A5" s="13"/>
      <c r="C5" s="6">
        <f ca="1">IF(DAY(AbrDom1)=1,AbrDom1+8,AbrDom1+15)</f>
        <v>43199</v>
      </c>
      <c r="D5" s="6">
        <f ca="1">IF(DAY(AbrDom1)=1,AbrDom1+9,AbrDom1+16)</f>
        <v>43200</v>
      </c>
      <c r="E5" s="6">
        <f ca="1">IF(DAY(AbrDom1)=1,AbrDom1+10,AbrDom1+17)</f>
        <v>43201</v>
      </c>
      <c r="F5" s="6">
        <f ca="1">IF(DAY(AbrDom1)=1,AbrDom1+11,AbrDom1+18)</f>
        <v>43202</v>
      </c>
      <c r="G5" s="6">
        <f ca="1">IF(DAY(AbrDom1)=1,AbrDom1+12,AbrDom1+19)</f>
        <v>43203</v>
      </c>
      <c r="H5" s="6">
        <f ca="1">IF(DAY(AbrDom1)=1,AbrDom1+13,AbrDom1+20)</f>
        <v>43204</v>
      </c>
      <c r="I5" s="6">
        <f ca="1">IF(DAY(AbrDom1)=1,AbrDom1+14,AbrDom1+21)</f>
        <v>43205</v>
      </c>
      <c r="K5" s="36"/>
      <c r="L5" s="49"/>
    </row>
    <row r="6" spans="1:12" ht="30" customHeight="1" x14ac:dyDescent="0.25">
      <c r="A6" s="13"/>
      <c r="C6" s="6">
        <f ca="1">IF(DAY(AbrDom1)=1,AbrDom1+15,AbrDom1+22)</f>
        <v>43206</v>
      </c>
      <c r="D6" s="6">
        <f ca="1">IF(DAY(AbrDom1)=1,AbrDom1+16,AbrDom1+23)</f>
        <v>43207</v>
      </c>
      <c r="E6" s="6">
        <f ca="1">IF(DAY(AbrDom1)=1,AbrDom1+17,AbrDom1+24)</f>
        <v>43208</v>
      </c>
      <c r="F6" s="6">
        <f ca="1">IF(DAY(AbrDom1)=1,AbrDom1+18,AbrDom1+25)</f>
        <v>43209</v>
      </c>
      <c r="G6" s="6">
        <f ca="1">IF(DAY(AbrDom1)=1,AbrDom1+19,AbrDom1+26)</f>
        <v>43210</v>
      </c>
      <c r="H6" s="6">
        <f ca="1">IF(DAY(AbrDom1)=1,AbrDom1+20,AbrDom1+27)</f>
        <v>43211</v>
      </c>
      <c r="I6" s="6">
        <f ca="1">IF(DAY(AbrDom1)=1,AbrDom1+21,AbrDom1+28)</f>
        <v>43212</v>
      </c>
      <c r="K6" s="36"/>
      <c r="L6" s="49"/>
    </row>
    <row r="7" spans="1:12" ht="30" customHeight="1" x14ac:dyDescent="0.25">
      <c r="A7" s="13"/>
      <c r="C7" s="6">
        <f ca="1">IF(DAY(AbrDom1)=1,AbrDom1+22,AbrDom1+29)</f>
        <v>43213</v>
      </c>
      <c r="D7" s="6">
        <f ca="1">IF(DAY(AbrDom1)=1,AbrDom1+23,AbrDom1+30)</f>
        <v>43214</v>
      </c>
      <c r="E7" s="6">
        <f ca="1">IF(DAY(AbrDom1)=1,AbrDom1+24,AbrDom1+31)</f>
        <v>43215</v>
      </c>
      <c r="F7" s="6">
        <f ca="1">IF(DAY(AbrDom1)=1,AbrDom1+25,AbrDom1+32)</f>
        <v>43216</v>
      </c>
      <c r="G7" s="6">
        <f ca="1">IF(DAY(AbrDom1)=1,AbrDom1+26,AbrDom1+33)</f>
        <v>43217</v>
      </c>
      <c r="H7" s="6">
        <f ca="1">IF(DAY(AbrDom1)=1,AbrDom1+27,AbrDom1+34)</f>
        <v>43218</v>
      </c>
      <c r="I7" s="6">
        <f ca="1">IF(DAY(AbrDom1)=1,AbrDom1+28,AbrDom1+35)</f>
        <v>43219</v>
      </c>
      <c r="J7" s="20"/>
      <c r="K7" s="35">
        <v>30</v>
      </c>
      <c r="L7" s="18" t="s">
        <v>49</v>
      </c>
    </row>
    <row r="8" spans="1:12" ht="30" customHeight="1" x14ac:dyDescent="0.25">
      <c r="A8" s="13"/>
      <c r="B8" s="18"/>
      <c r="C8" s="6">
        <f ca="1">IF(DAY(AbrDom1)=1,AbrDom1+29,AbrDom1+36)</f>
        <v>43220</v>
      </c>
      <c r="D8" s="6">
        <f ca="1">IF(DAY(AbrDom1)=1,AbrDom1+30,AbrDom1+37)</f>
        <v>43221</v>
      </c>
      <c r="E8" s="6">
        <f ca="1">IF(DAY(AbrDom1)=1,AbrDom1+31,AbrDom1+38)</f>
        <v>43222</v>
      </c>
      <c r="F8" s="6">
        <f ca="1">IF(DAY(AbrDom1)=1,AbrDom1+32,AbrDom1+39)</f>
        <v>43223</v>
      </c>
      <c r="G8" s="6">
        <f ca="1">IF(DAY(AbrDom1)=1,AbrDom1+33,AbrDom1+40)</f>
        <v>43224</v>
      </c>
      <c r="H8" s="6">
        <f ca="1">IF(DAY(AbrDom1)=1,AbrDom1+34,AbrDom1+41)</f>
        <v>43225</v>
      </c>
      <c r="I8" s="6">
        <f ca="1">IF(DAY(AbrDom1)=1,AbrDom1+35,AbrDom1+42)</f>
        <v>43226</v>
      </c>
      <c r="J8" s="10" t="s">
        <v>30</v>
      </c>
      <c r="K8" s="37">
        <v>3</v>
      </c>
      <c r="L8" s="49" t="s">
        <v>54</v>
      </c>
    </row>
    <row r="9" spans="1:12" ht="30" customHeight="1" x14ac:dyDescent="0.25">
      <c r="A9" s="13"/>
      <c r="C9" s="4"/>
      <c r="D9" s="4"/>
      <c r="E9" s="4"/>
      <c r="F9" s="4"/>
      <c r="G9" s="4"/>
      <c r="H9" s="4"/>
      <c r="I9" s="4"/>
      <c r="K9" s="36">
        <v>10</v>
      </c>
      <c r="L9" s="49" t="s">
        <v>56</v>
      </c>
    </row>
    <row r="10" spans="1:12" ht="30" customHeight="1" x14ac:dyDescent="0.25">
      <c r="A10" s="13"/>
      <c r="B10" s="16" t="s">
        <v>4</v>
      </c>
      <c r="C10" s="9"/>
      <c r="D10" s="9"/>
      <c r="E10" s="9"/>
      <c r="F10" s="9"/>
      <c r="G10" s="9"/>
      <c r="H10" s="9"/>
      <c r="I10" s="9"/>
      <c r="K10" s="36">
        <v>17</v>
      </c>
      <c r="L10" s="49" t="s">
        <v>55</v>
      </c>
    </row>
    <row r="11" spans="1:12" ht="30" customHeight="1" x14ac:dyDescent="0.25">
      <c r="A11" s="26" t="s">
        <v>0</v>
      </c>
      <c r="B11" s="25" t="s">
        <v>29</v>
      </c>
      <c r="C11" s="67" t="s">
        <v>30</v>
      </c>
      <c r="D11" s="68"/>
      <c r="E11" s="67" t="s">
        <v>31</v>
      </c>
      <c r="F11" s="68"/>
      <c r="G11" s="67" t="s">
        <v>32</v>
      </c>
      <c r="H11" s="68"/>
      <c r="I11" s="3" t="s">
        <v>33</v>
      </c>
      <c r="K11" s="36">
        <v>24</v>
      </c>
      <c r="L11" s="49" t="s">
        <v>61</v>
      </c>
    </row>
    <row r="12" spans="1:12" ht="30" customHeight="1" x14ac:dyDescent="0.25">
      <c r="A12" s="26" t="s">
        <v>1</v>
      </c>
      <c r="B12" s="56"/>
      <c r="C12" s="76"/>
      <c r="D12" s="76"/>
      <c r="E12" s="76"/>
      <c r="F12" s="76"/>
      <c r="G12" s="76"/>
      <c r="H12" s="76"/>
      <c r="I12" s="22"/>
      <c r="K12" s="36"/>
      <c r="L12" s="49"/>
    </row>
    <row r="13" spans="1:12" ht="30" customHeight="1" x14ac:dyDescent="0.25">
      <c r="A13" s="26" t="s">
        <v>2</v>
      </c>
      <c r="B13" s="27"/>
      <c r="C13" s="70"/>
      <c r="D13" s="70"/>
      <c r="E13" s="70"/>
      <c r="F13" s="70"/>
      <c r="G13" s="70"/>
      <c r="H13" s="70"/>
      <c r="I13" s="54"/>
      <c r="J13" s="20"/>
      <c r="K13" s="35"/>
      <c r="L13" s="18"/>
    </row>
    <row r="14" spans="1:12" ht="30" customHeight="1" x14ac:dyDescent="0.25">
      <c r="A14" s="26" t="s">
        <v>1</v>
      </c>
      <c r="B14" s="56"/>
      <c r="C14" s="76"/>
      <c r="D14" s="76"/>
      <c r="E14" s="76"/>
      <c r="F14" s="76"/>
      <c r="G14" s="76"/>
      <c r="H14" s="76"/>
      <c r="I14" s="22">
        <v>0.76041666666666663</v>
      </c>
      <c r="J14" s="10" t="s">
        <v>31</v>
      </c>
      <c r="K14" s="65"/>
      <c r="L14" s="66"/>
    </row>
    <row r="15" spans="1:12" ht="30" customHeight="1" x14ac:dyDescent="0.25">
      <c r="A15" s="26" t="s">
        <v>2</v>
      </c>
      <c r="B15" s="27"/>
      <c r="C15" s="70"/>
      <c r="D15" s="70"/>
      <c r="E15" s="70"/>
      <c r="F15" s="70"/>
      <c r="G15" s="70"/>
      <c r="H15" s="70"/>
      <c r="I15" s="27" t="s">
        <v>38</v>
      </c>
      <c r="K15" s="65"/>
      <c r="L15" s="66"/>
    </row>
    <row r="16" spans="1:12" ht="30" customHeight="1" x14ac:dyDescent="0.25">
      <c r="A16" s="26" t="s">
        <v>1</v>
      </c>
      <c r="B16" s="56"/>
      <c r="C16" s="76"/>
      <c r="D16" s="76"/>
      <c r="E16" s="76"/>
      <c r="F16" s="76"/>
      <c r="G16" s="76"/>
      <c r="H16" s="76"/>
      <c r="I16" s="24">
        <v>0.82291666666666663</v>
      </c>
      <c r="K16" s="36"/>
      <c r="L16" s="49"/>
    </row>
    <row r="17" spans="1:12" ht="30" customHeight="1" x14ac:dyDescent="0.25">
      <c r="A17" s="26" t="s">
        <v>2</v>
      </c>
      <c r="B17" s="27"/>
      <c r="C17" s="70"/>
      <c r="D17" s="70"/>
      <c r="E17" s="70"/>
      <c r="F17" s="70"/>
      <c r="G17" s="70"/>
      <c r="H17" s="70"/>
      <c r="I17" s="27" t="s">
        <v>41</v>
      </c>
      <c r="K17" s="36"/>
      <c r="L17" s="49"/>
    </row>
    <row r="18" spans="1:12" ht="30" customHeight="1" x14ac:dyDescent="0.25">
      <c r="A18" s="26" t="s">
        <v>1</v>
      </c>
      <c r="B18" s="56"/>
      <c r="C18" s="76">
        <v>0.82986111111111116</v>
      </c>
      <c r="D18" s="76"/>
      <c r="E18" s="76"/>
      <c r="F18" s="76"/>
      <c r="G18" s="76"/>
      <c r="H18" s="76"/>
      <c r="I18" s="22"/>
      <c r="K18" s="36"/>
      <c r="L18" s="49"/>
    </row>
    <row r="19" spans="1:12" ht="30" customHeight="1" x14ac:dyDescent="0.25">
      <c r="A19" s="26" t="s">
        <v>2</v>
      </c>
      <c r="B19" s="27"/>
      <c r="C19" s="77" t="s">
        <v>42</v>
      </c>
      <c r="D19" s="70"/>
      <c r="E19" s="70"/>
      <c r="F19" s="70"/>
      <c r="G19" s="70"/>
      <c r="H19" s="70"/>
      <c r="I19" s="47"/>
      <c r="J19" s="20"/>
      <c r="K19" s="35"/>
      <c r="L19" s="50"/>
    </row>
    <row r="20" spans="1:12" ht="30" customHeight="1" x14ac:dyDescent="0.25">
      <c r="A20" s="26" t="s">
        <v>1</v>
      </c>
      <c r="B20" s="56"/>
      <c r="C20" s="76">
        <v>0.875</v>
      </c>
      <c r="D20" s="76"/>
      <c r="E20" s="76"/>
      <c r="F20" s="76"/>
      <c r="G20" s="76"/>
      <c r="H20" s="76"/>
      <c r="I20" s="22"/>
      <c r="J20" s="10" t="s">
        <v>32</v>
      </c>
      <c r="K20" s="37">
        <v>26</v>
      </c>
      <c r="L20" s="49" t="s">
        <v>60</v>
      </c>
    </row>
    <row r="21" spans="1:12" ht="30" customHeight="1" x14ac:dyDescent="0.25">
      <c r="A21" s="26" t="s">
        <v>2</v>
      </c>
      <c r="B21" s="27"/>
      <c r="C21" s="77" t="s">
        <v>41</v>
      </c>
      <c r="D21" s="70"/>
      <c r="E21" s="70"/>
      <c r="F21" s="70"/>
      <c r="G21" s="70"/>
      <c r="H21" s="70"/>
      <c r="I21" s="54"/>
      <c r="K21" s="36"/>
      <c r="L21" s="49"/>
    </row>
    <row r="22" spans="1:12" ht="30" customHeight="1" x14ac:dyDescent="0.25">
      <c r="A22" s="26" t="s">
        <v>1</v>
      </c>
      <c r="B22" s="56"/>
      <c r="C22" s="76" t="s">
        <v>43</v>
      </c>
      <c r="D22" s="76"/>
      <c r="E22" s="76"/>
      <c r="F22" s="76"/>
      <c r="G22" s="76"/>
      <c r="H22" s="76"/>
      <c r="I22" s="22"/>
      <c r="K22" s="36"/>
      <c r="L22" s="49"/>
    </row>
    <row r="23" spans="1:12" ht="30" customHeight="1" x14ac:dyDescent="0.25">
      <c r="A23" s="26" t="s">
        <v>2</v>
      </c>
      <c r="B23" s="27"/>
      <c r="C23" s="78">
        <v>0.96180555555555547</v>
      </c>
      <c r="D23" s="70"/>
      <c r="E23" s="70"/>
      <c r="F23" s="70"/>
      <c r="G23" s="70"/>
      <c r="H23" s="70"/>
      <c r="I23" s="54"/>
      <c r="K23" s="36"/>
      <c r="L23" s="49"/>
    </row>
    <row r="24" spans="1:12" ht="30" customHeight="1" x14ac:dyDescent="0.25">
      <c r="A24" s="26" t="s">
        <v>1</v>
      </c>
      <c r="B24" s="56"/>
      <c r="C24" s="76"/>
      <c r="D24" s="76"/>
      <c r="E24" s="76"/>
      <c r="F24" s="76"/>
      <c r="G24" s="76"/>
      <c r="H24" s="76"/>
      <c r="I24" s="22"/>
      <c r="K24" s="36"/>
      <c r="L24" s="49"/>
    </row>
    <row r="25" spans="1:12" ht="30" customHeight="1" x14ac:dyDescent="0.25">
      <c r="A25" s="26" t="s">
        <v>2</v>
      </c>
      <c r="B25" s="27"/>
      <c r="C25" s="70"/>
      <c r="D25" s="70"/>
      <c r="E25" s="70"/>
      <c r="F25" s="70"/>
      <c r="G25" s="70"/>
      <c r="H25" s="70"/>
      <c r="I25" s="54"/>
      <c r="J25" s="20"/>
      <c r="K25" s="35"/>
      <c r="L25" s="50"/>
    </row>
    <row r="26" spans="1:12" ht="30" customHeight="1" x14ac:dyDescent="0.25">
      <c r="A26" s="26" t="s">
        <v>1</v>
      </c>
      <c r="B26" s="56"/>
      <c r="C26" s="76"/>
      <c r="D26" s="76"/>
      <c r="E26" s="76"/>
      <c r="F26" s="76"/>
      <c r="G26" s="76"/>
      <c r="H26" s="76"/>
      <c r="I26" s="22"/>
      <c r="J26" s="10" t="s">
        <v>33</v>
      </c>
      <c r="K26" s="37">
        <v>6</v>
      </c>
      <c r="L26" s="49" t="s">
        <v>57</v>
      </c>
    </row>
    <row r="27" spans="1:12" ht="30" customHeight="1" x14ac:dyDescent="0.25">
      <c r="A27" s="26" t="s">
        <v>2</v>
      </c>
      <c r="B27" s="27"/>
      <c r="C27" s="70"/>
      <c r="D27" s="70"/>
      <c r="E27" s="70"/>
      <c r="F27" s="70"/>
      <c r="G27" s="70"/>
      <c r="H27" s="70"/>
      <c r="I27" s="54"/>
      <c r="K27" s="36">
        <v>13</v>
      </c>
      <c r="L27" s="49" t="s">
        <v>58</v>
      </c>
    </row>
    <row r="28" spans="1:12" ht="30" customHeight="1" x14ac:dyDescent="0.25">
      <c r="A28" s="26" t="s">
        <v>1</v>
      </c>
      <c r="B28" s="56"/>
      <c r="C28" s="76"/>
      <c r="D28" s="76"/>
      <c r="E28" s="76"/>
      <c r="F28" s="76"/>
      <c r="G28" s="76"/>
      <c r="H28" s="76"/>
      <c r="I28" s="22"/>
      <c r="K28" s="36">
        <v>20</v>
      </c>
      <c r="L28" s="49" t="s">
        <v>59</v>
      </c>
    </row>
    <row r="29" spans="1:12" ht="48.75" customHeight="1" x14ac:dyDescent="0.25">
      <c r="A29" s="26" t="s">
        <v>2</v>
      </c>
      <c r="B29" s="27"/>
      <c r="C29" s="70"/>
      <c r="D29" s="70"/>
      <c r="E29" s="70"/>
      <c r="F29" s="70"/>
      <c r="G29" s="70"/>
      <c r="H29" s="70"/>
      <c r="I29" s="54"/>
      <c r="K29" s="36">
        <v>27</v>
      </c>
      <c r="L29" s="49" t="s">
        <v>63</v>
      </c>
    </row>
    <row r="30" spans="1:12" ht="30" customHeight="1" x14ac:dyDescent="0.25">
      <c r="A30" s="26" t="s">
        <v>1</v>
      </c>
      <c r="B30" s="56"/>
      <c r="C30" s="76"/>
      <c r="D30" s="76"/>
      <c r="E30" s="76"/>
      <c r="F30" s="76"/>
      <c r="G30" s="76"/>
      <c r="H30" s="76"/>
      <c r="I30" s="22"/>
      <c r="K30" s="36"/>
      <c r="L30" s="49"/>
    </row>
    <row r="31" spans="1:12" ht="30" customHeight="1" x14ac:dyDescent="0.25">
      <c r="A31" s="26" t="s">
        <v>2</v>
      </c>
      <c r="B31" s="28"/>
      <c r="C31" s="72"/>
      <c r="D31" s="72"/>
      <c r="E31" s="72"/>
      <c r="F31" s="72"/>
      <c r="G31" s="72"/>
      <c r="H31" s="72"/>
      <c r="I31" s="55"/>
      <c r="K31" s="42"/>
      <c r="L31" s="51"/>
    </row>
  </sheetData>
  <mergeCells count="63">
    <mergeCell ref="C31:D31"/>
    <mergeCell ref="E31:F31"/>
    <mergeCell ref="G31:H31"/>
    <mergeCell ref="C29:D29"/>
    <mergeCell ref="E29:F29"/>
    <mergeCell ref="G29:H29"/>
    <mergeCell ref="C30:D30"/>
    <mergeCell ref="E30:F30"/>
    <mergeCell ref="G30:H30"/>
    <mergeCell ref="C27:D27"/>
    <mergeCell ref="E27:F27"/>
    <mergeCell ref="G27:H27"/>
    <mergeCell ref="C28:D28"/>
    <mergeCell ref="E28:F28"/>
    <mergeCell ref="G28:H28"/>
    <mergeCell ref="C25:D25"/>
    <mergeCell ref="E25:F25"/>
    <mergeCell ref="G25:H25"/>
    <mergeCell ref="C26:D26"/>
    <mergeCell ref="E26:F26"/>
    <mergeCell ref="G26:H26"/>
    <mergeCell ref="C23:D23"/>
    <mergeCell ref="E23:F23"/>
    <mergeCell ref="G23:H23"/>
    <mergeCell ref="C24:D24"/>
    <mergeCell ref="E24:F24"/>
    <mergeCell ref="G24:H24"/>
    <mergeCell ref="C21:D21"/>
    <mergeCell ref="E21:F21"/>
    <mergeCell ref="G21:H21"/>
    <mergeCell ref="C22:D22"/>
    <mergeCell ref="E22:F22"/>
    <mergeCell ref="G22:H22"/>
    <mergeCell ref="C19:D19"/>
    <mergeCell ref="E19:F19"/>
    <mergeCell ref="G19:H19"/>
    <mergeCell ref="C20:D20"/>
    <mergeCell ref="E20:F20"/>
    <mergeCell ref="G20:H20"/>
    <mergeCell ref="C17:D17"/>
    <mergeCell ref="E17:F17"/>
    <mergeCell ref="G17:H17"/>
    <mergeCell ref="C18:D18"/>
    <mergeCell ref="E18:F18"/>
    <mergeCell ref="G18:H18"/>
    <mergeCell ref="C15:D15"/>
    <mergeCell ref="E15:F15"/>
    <mergeCell ref="G15:H15"/>
    <mergeCell ref="C16:D16"/>
    <mergeCell ref="E16:F16"/>
    <mergeCell ref="G16:H16"/>
    <mergeCell ref="C13:D13"/>
    <mergeCell ref="E13:F13"/>
    <mergeCell ref="G13:H13"/>
    <mergeCell ref="C14:D14"/>
    <mergeCell ref="E14:F14"/>
    <mergeCell ref="G14:H14"/>
    <mergeCell ref="C11:D11"/>
    <mergeCell ref="E11:F11"/>
    <mergeCell ref="G11:H11"/>
    <mergeCell ref="C12:D12"/>
    <mergeCell ref="E12:F12"/>
    <mergeCell ref="G12:H12"/>
  </mergeCells>
  <conditionalFormatting sqref="C3:H3">
    <cfRule type="expression" dxfId="64" priority="10" stopIfTrue="1">
      <formula>DAY(C3)&gt;8</formula>
    </cfRule>
  </conditionalFormatting>
  <conditionalFormatting sqref="C7:I8">
    <cfRule type="expression" dxfId="63" priority="9" stopIfTrue="1">
      <formula>AND(DAY(C7)&gt;=1,DAY(C7)&lt;=15)</formula>
    </cfRule>
  </conditionalFormatting>
  <conditionalFormatting sqref="C3:I8">
    <cfRule type="expression" dxfId="62" priority="11">
      <formula>VLOOKUP(DAY(C3),AssignmentDays,1,FALSE)=DAY(C3)</formula>
    </cfRule>
  </conditionalFormatting>
  <conditionalFormatting sqref="B13:I13 B15:I15 B17:I17 B19:I19 B21:I21 B23:I23 B25:I25 B27:I27 B29:I29 B31:I31">
    <cfRule type="expression" dxfId="61" priority="4">
      <formula>B13&lt;&gt;""</formula>
    </cfRule>
  </conditionalFormatting>
  <conditionalFormatting sqref="B12:I12 B14:I14 B16:I16 B18:I18 B20:I20 B22:I22 B24:I24 B26:I26 B28:I28 B30:I30">
    <cfRule type="expression" dxfId="60" priority="3">
      <formula>B12&lt;&gt;""</formula>
    </cfRule>
  </conditionalFormatting>
  <conditionalFormatting sqref="B13:I13 B15:I15 B17:I17 B19:I19 B21:I21 B23:I23 B25:I25 B27:I27 B29:I29">
    <cfRule type="expression" dxfId="59" priority="2">
      <formula>COLUMN(B12)&gt;=2</formula>
    </cfRule>
  </conditionalFormatting>
  <conditionalFormatting sqref="B12:I31">
    <cfRule type="expression" dxfId="58" priority="1">
      <formula>COLUMN(B12)&gt;2</formula>
    </cfRule>
  </conditionalFormatting>
  <dataValidations xWindow="209" yWindow="929" count="13">
    <dataValidation allowBlank="1" showInputMessage="1" showErrorMessage="1" prompt="El calendario de abril resalta automáticamente las entradas de la lista de tareas para el mes. Las fuentes más oscuras indican tareas. Las fuentes más claras indican días que pertenecen al mes anterior o siguiente." sqref="B2" xr:uid="{00000000-0002-0000-0300-000000000000}"/>
    <dataValidation allowBlank="1" showInputMessage="1" showErrorMessage="1" prompt="El año se actualiza automáticamente. Para cambiar el año, actualice la celda B1 en la hoja de cálculo de Ene." sqref="B1" xr:uid="{00000000-0002-0000-0300-000001000000}"/>
    <dataValidation allowBlank="1" showInputMessage="1" showErrorMessage="1" prompt="Prepare una programación semanal y cree una lista de tareas en esta hoja de cálculo. Las tareas se resaltan automáticamente en el calendario mensual del año especificado en B1 de la hoja de cálculo de Ene." sqref="A1" xr:uid="{00000000-0002-0000-0300-000002000000}"/>
    <dataValidation allowBlank="1" showInputMessage="1" showErrorMessage="1" prompt="Las celdas C2 a I2 contienen días de la semana." sqref="C2" xr:uid="{00000000-0002-0000-0300-000003000000}"/>
    <dataValidation allowBlank="1" showInputMessage="1" showErrorMessage="1" prompt="Si esta celda no contiene el número 1, se trata de un día del mes anterior. Las celdas C3 a I8 contienen fechas para el mes actual." sqref="C3" xr:uid="{00000000-0002-0000-0300-000004000000}"/>
    <dataValidation allowBlank="1" showInputMessage="1" showErrorMessage="1" prompt="Si esta fila contiene un número menor que el número o la fila de números anterior, en ese caso, esta fila contiene fechas para el próximo mes del calendario." sqref="C8" xr:uid="{00000000-0002-0000-0300-000005000000}"/>
    <dataValidation allowBlank="1" showInputMessage="1" showErrorMessage="1" prompt="Escriba la hora en esta fila, de la columna B a la I." sqref="B12" xr:uid="{6DBDB87C-B91D-4A7C-B09F-86455EB9C724}"/>
    <dataValidation allowBlank="1" showInputMessage="1" showErrorMessage="1" prompt="Escriba la clase en esta fila, de la columna B a la I." sqref="B13" xr:uid="{E32F8EB0-B458-42EF-BBF3-1E59CB0C87A3}"/>
    <dataValidation allowBlank="1" showInputMessage="1" showErrorMessage="1" prompt="Los días de la semana se agrupan en esta columna con 6 filas para las tareas para cada día laborable agrupado del mes. Inserte las nuevas filas para agregar más tareas. El calendario a la izquierda resaltará elementos." sqref="J1" xr:uid="{00000000-0002-0000-0300-000008000000}"/>
    <dataValidation allowBlank="1" showInputMessage="1" showErrorMessage="1" prompt="Escriba en esta columna los detalles de la tarea correspondientes al día de la semana de la columna J y al día de la columna K del mes del calendario de la izquierda." sqref="L1" xr:uid="{8E7B046D-5AC6-439A-BD01-16D9D7FFFEAB}"/>
    <dataValidation allowBlank="1" showInputMessage="1" showErrorMessage="1" prompt="Escriba en esta columna el día de la tarea del mes que corresponda al día de la semana de la columna J. Esta fecha resaltará la tarea en el calendario de la izquierda." sqref="K1" xr:uid="{00000000-0002-0000-0300-00000A000000}"/>
    <dataValidation allowBlank="1" showInputMessage="1" showErrorMessage="1" prompt="Los días de la semana se encuentran en esta fila, del lunes al viernes." sqref="B11" xr:uid="{00000000-0002-0000-0300-00000B000000}"/>
    <dataValidation allowBlank="1" showInputMessage="1" showErrorMessage="1" prompt="Escriba la hora de la clase y debajo, en una nueva fila, el nombre de clase para cada día de la semana en las columnas B a I. Repita este patrón para todas las clases en las filas posteriores." sqref="B10" xr:uid="{00000000-0002-0000-0300-00000C000000}"/>
  </dataValidations>
  <printOptions horizontalCentered="1" verticalCentered="1"/>
  <pageMargins left="0.5" right="0.5" top="0.5" bottom="0.5" header="0.3" footer="0.3"/>
  <pageSetup paperSize="9" scale="58" orientation="landscape" r:id="rId1"/>
  <headerFooter differentFirst="1">
    <oddFooter>Page &amp;P of &amp;N</oddFooter>
  </headerFooter>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4"/>
    <pageSetUpPr fitToPage="1"/>
  </sheetPr>
  <dimension ref="A1:L31"/>
  <sheetViews>
    <sheetView showGridLines="0" topLeftCell="A28" zoomScale="70" zoomScaleNormal="70" zoomScalePageLayoutView="84" workbookViewId="0">
      <selection activeCell="L12" sqref="L12"/>
    </sheetView>
  </sheetViews>
  <sheetFormatPr baseColWidth="10" defaultColWidth="8.625" defaultRowHeight="30" customHeight="1" x14ac:dyDescent="0.2"/>
  <cols>
    <col min="1" max="1" width="2.625" style="1" customWidth="1"/>
    <col min="2" max="2" width="20.625" style="17" customWidth="1"/>
    <col min="3" max="8" width="10.625" style="1" customWidth="1"/>
    <col min="9" max="9" width="20.625" style="1" customWidth="1"/>
    <col min="10" max="10" width="10.625" style="17" customWidth="1"/>
    <col min="11" max="11" width="10.625" style="2" customWidth="1"/>
    <col min="12" max="12" width="70.625" style="1" customWidth="1"/>
    <col min="13" max="13" width="2.625" customWidth="1"/>
  </cols>
  <sheetData>
    <row r="1" spans="1:12" ht="30" customHeight="1" x14ac:dyDescent="0.2">
      <c r="A1" s="17"/>
      <c r="B1" s="60">
        <f ca="1">AñoCalendario</f>
        <v>2018</v>
      </c>
      <c r="C1" s="61"/>
      <c r="D1" s="61"/>
      <c r="E1" s="61"/>
      <c r="F1" s="61"/>
      <c r="G1" s="61"/>
      <c r="H1" s="61"/>
      <c r="I1" s="61"/>
      <c r="J1" s="62" t="s">
        <v>0</v>
      </c>
      <c r="K1" s="62" t="s">
        <v>14</v>
      </c>
      <c r="L1" s="63" t="s">
        <v>53</v>
      </c>
    </row>
    <row r="2" spans="1:12" ht="30" customHeight="1" x14ac:dyDescent="0.25">
      <c r="A2" s="13"/>
      <c r="B2" s="64" t="s">
        <v>21</v>
      </c>
      <c r="C2" s="7" t="s">
        <v>29</v>
      </c>
      <c r="D2" s="7" t="s">
        <v>30</v>
      </c>
      <c r="E2" s="7" t="s">
        <v>31</v>
      </c>
      <c r="F2" s="7" t="s">
        <v>32</v>
      </c>
      <c r="G2" s="7" t="s">
        <v>33</v>
      </c>
      <c r="H2" s="7" t="s">
        <v>34</v>
      </c>
      <c r="I2" s="7" t="s">
        <v>35</v>
      </c>
      <c r="J2" s="10" t="s">
        <v>29</v>
      </c>
      <c r="K2" s="42"/>
      <c r="L2" s="49"/>
    </row>
    <row r="3" spans="1:12" ht="30" customHeight="1" x14ac:dyDescent="0.25">
      <c r="A3" s="13"/>
      <c r="C3" s="6">
        <f ca="1">IF(DAY(MayDom1)=1,MayDom1-6,MayDom1+1)</f>
        <v>43220</v>
      </c>
      <c r="D3" s="6">
        <f ca="1">IF(DAY(MayDom1)=1,MayDom1-5,MayDom1+2)</f>
        <v>43221</v>
      </c>
      <c r="E3" s="6">
        <f ca="1">IF(DAY(MayDom1)=1,MayDom1-4,MayDom1+3)</f>
        <v>43222</v>
      </c>
      <c r="F3" s="6">
        <f ca="1">IF(DAY(MayDom1)=1,MayDom1-3,MayDom1+4)</f>
        <v>43223</v>
      </c>
      <c r="G3" s="6">
        <f ca="1">IF(DAY(MayDom1)=1,MayDom1-2,MayDom1+5)</f>
        <v>43224</v>
      </c>
      <c r="H3" s="6">
        <f ca="1">IF(DAY(MayDom1)=1,MayDom1-1,MayDom1+6)</f>
        <v>43225</v>
      </c>
      <c r="I3" s="6">
        <f ca="1">IF(DAY(MayDom1)=1,MayDom1,MayDom1+7)</f>
        <v>43226</v>
      </c>
      <c r="J3" s="10"/>
      <c r="K3" s="36"/>
      <c r="L3" s="49"/>
    </row>
    <row r="4" spans="1:12" ht="30" customHeight="1" x14ac:dyDescent="0.25">
      <c r="A4" s="13"/>
      <c r="C4" s="6">
        <f ca="1">IF(DAY(MayDom1)=1,MayDom1+1,MayDom1+8)</f>
        <v>43227</v>
      </c>
      <c r="D4" s="6">
        <f ca="1">IF(DAY(MayDom1)=1,MayDom1+2,MayDom1+9)</f>
        <v>43228</v>
      </c>
      <c r="E4" s="6">
        <f ca="1">IF(DAY(MayDom1)=1,MayDom1+3,MayDom1+10)</f>
        <v>43229</v>
      </c>
      <c r="F4" s="6">
        <f ca="1">IF(DAY(MayDom1)=1,MayDom1+4,MayDom1+11)</f>
        <v>43230</v>
      </c>
      <c r="G4" s="6">
        <f ca="1">IF(DAY(MayDom1)=1,MayDom1+5,MayDom1+12)</f>
        <v>43231</v>
      </c>
      <c r="H4" s="6">
        <f ca="1">IF(DAY(MayDom1)=1,MayDom1+6,MayDom1+13)</f>
        <v>43232</v>
      </c>
      <c r="I4" s="6">
        <f ca="1">IF(DAY(MayDom1)=1,MayDom1+7,MayDom1+14)</f>
        <v>43233</v>
      </c>
      <c r="J4" s="10"/>
      <c r="K4" s="36">
        <v>14</v>
      </c>
      <c r="L4" s="49" t="s">
        <v>67</v>
      </c>
    </row>
    <row r="5" spans="1:12" ht="30" customHeight="1" x14ac:dyDescent="0.25">
      <c r="A5" s="13"/>
      <c r="C5" s="6">
        <f ca="1">IF(DAY(MayDom1)=1,MayDom1+8,MayDom1+15)</f>
        <v>43234</v>
      </c>
      <c r="D5" s="6">
        <f ca="1">IF(DAY(MayDom1)=1,MayDom1+9,MayDom1+16)</f>
        <v>43235</v>
      </c>
      <c r="E5" s="6">
        <f ca="1">IF(DAY(MayDom1)=1,MayDom1+10,MayDom1+17)</f>
        <v>43236</v>
      </c>
      <c r="F5" s="6">
        <f ca="1">IF(DAY(MayDom1)=1,MayDom1+11,MayDom1+18)</f>
        <v>43237</v>
      </c>
      <c r="G5" s="6">
        <f ca="1">IF(DAY(MayDom1)=1,MayDom1+12,MayDom1+19)</f>
        <v>43238</v>
      </c>
      <c r="H5" s="6">
        <f ca="1">IF(DAY(MayDom1)=1,MayDom1+13,MayDom1+20)</f>
        <v>43239</v>
      </c>
      <c r="I5" s="6">
        <f ca="1">IF(DAY(MayDom1)=1,MayDom1+14,MayDom1+21)</f>
        <v>43240</v>
      </c>
      <c r="J5" s="10"/>
      <c r="K5" s="36"/>
      <c r="L5" s="49"/>
    </row>
    <row r="6" spans="1:12" ht="30" customHeight="1" x14ac:dyDescent="0.25">
      <c r="A6" s="13"/>
      <c r="C6" s="6">
        <f ca="1">IF(DAY(MayDom1)=1,MayDom1+15,MayDom1+22)</f>
        <v>43241</v>
      </c>
      <c r="D6" s="6">
        <f ca="1">IF(DAY(MayDom1)=1,MayDom1+16,MayDom1+23)</f>
        <v>43242</v>
      </c>
      <c r="E6" s="6">
        <f ca="1">IF(DAY(MayDom1)=1,MayDom1+17,MayDom1+24)</f>
        <v>43243</v>
      </c>
      <c r="F6" s="6">
        <f ca="1">IF(DAY(MayDom1)=1,MayDom1+18,MayDom1+25)</f>
        <v>43244</v>
      </c>
      <c r="G6" s="6">
        <f ca="1">IF(DAY(MayDom1)=1,MayDom1+19,MayDom1+26)</f>
        <v>43245</v>
      </c>
      <c r="H6" s="6">
        <f ca="1">IF(DAY(MayDom1)=1,MayDom1+20,MayDom1+27)</f>
        <v>43246</v>
      </c>
      <c r="I6" s="6">
        <f ca="1">IF(DAY(MayDom1)=1,MayDom1+21,MayDom1+28)</f>
        <v>43247</v>
      </c>
      <c r="J6" s="10"/>
      <c r="K6" s="36"/>
      <c r="L6" s="49"/>
    </row>
    <row r="7" spans="1:12" ht="30" customHeight="1" x14ac:dyDescent="0.25">
      <c r="A7" s="13"/>
      <c r="C7" s="6">
        <f ca="1">IF(DAY(MayDom1)=1,MayDom1+22,MayDom1+29)</f>
        <v>43248</v>
      </c>
      <c r="D7" s="6">
        <f ca="1">IF(DAY(MayDom1)=1,MayDom1+23,MayDom1+30)</f>
        <v>43249</v>
      </c>
      <c r="E7" s="6">
        <f ca="1">IF(DAY(MayDom1)=1,MayDom1+24,MayDom1+31)</f>
        <v>43250</v>
      </c>
      <c r="F7" s="6">
        <f ca="1">IF(DAY(MayDom1)=1,MayDom1+25,MayDom1+32)</f>
        <v>43251</v>
      </c>
      <c r="G7" s="6">
        <f ca="1">IF(DAY(MayDom1)=1,MayDom1+26,MayDom1+33)</f>
        <v>43252</v>
      </c>
      <c r="H7" s="6">
        <f ca="1">IF(DAY(MayDom1)=1,MayDom1+27,MayDom1+34)</f>
        <v>43253</v>
      </c>
      <c r="I7" s="6">
        <f ca="1">IF(DAY(MayDom1)=1,MayDom1+28,MayDom1+35)</f>
        <v>43254</v>
      </c>
      <c r="J7" s="20"/>
      <c r="K7" s="35"/>
      <c r="L7" s="18"/>
    </row>
    <row r="8" spans="1:12" ht="30" customHeight="1" x14ac:dyDescent="0.25">
      <c r="A8" s="13"/>
      <c r="B8" s="18"/>
      <c r="C8" s="6">
        <f ca="1">IF(DAY(MayDom1)=1,MayDom1+29,MayDom1+36)</f>
        <v>43255</v>
      </c>
      <c r="D8" s="6">
        <f ca="1">IF(DAY(MayDom1)=1,MayDom1+30,MayDom1+37)</f>
        <v>43256</v>
      </c>
      <c r="E8" s="6">
        <f ca="1">IF(DAY(MayDom1)=1,MayDom1+31,MayDom1+38)</f>
        <v>43257</v>
      </c>
      <c r="F8" s="6">
        <f ca="1">IF(DAY(MayDom1)=1,MayDom1+32,MayDom1+39)</f>
        <v>43258</v>
      </c>
      <c r="G8" s="6">
        <f ca="1">IF(DAY(MayDom1)=1,MayDom1+33,MayDom1+40)</f>
        <v>43259</v>
      </c>
      <c r="H8" s="6">
        <f ca="1">IF(DAY(MayDom1)=1,MayDom1+34,MayDom1+41)</f>
        <v>43260</v>
      </c>
      <c r="I8" s="6">
        <f ca="1">IF(DAY(MayDom1)=1,MayDom1+35,MayDom1+42)</f>
        <v>43261</v>
      </c>
      <c r="J8" s="10" t="s">
        <v>30</v>
      </c>
      <c r="K8" s="37">
        <v>1</v>
      </c>
      <c r="L8" s="49" t="s">
        <v>47</v>
      </c>
    </row>
    <row r="9" spans="1:12" ht="30" customHeight="1" x14ac:dyDescent="0.25">
      <c r="A9" s="13"/>
      <c r="C9" s="4"/>
      <c r="D9" s="4"/>
      <c r="E9" s="4"/>
      <c r="F9" s="4"/>
      <c r="G9" s="4"/>
      <c r="H9" s="4"/>
      <c r="I9" s="4"/>
      <c r="J9" s="10"/>
      <c r="K9" s="36">
        <v>8</v>
      </c>
      <c r="L9" s="49" t="s">
        <v>66</v>
      </c>
    </row>
    <row r="10" spans="1:12" ht="30" customHeight="1" x14ac:dyDescent="0.25">
      <c r="A10" s="13"/>
      <c r="B10" s="16" t="s">
        <v>4</v>
      </c>
      <c r="C10" s="9"/>
      <c r="D10" s="9"/>
      <c r="E10" s="9"/>
      <c r="F10" s="9"/>
      <c r="G10" s="9"/>
      <c r="H10" s="9"/>
      <c r="I10" s="9"/>
      <c r="J10" s="10"/>
      <c r="K10" s="36">
        <v>15</v>
      </c>
      <c r="L10" s="49" t="s">
        <v>68</v>
      </c>
    </row>
    <row r="11" spans="1:12" ht="30" customHeight="1" x14ac:dyDescent="0.25">
      <c r="A11" s="26" t="s">
        <v>0</v>
      </c>
      <c r="B11" s="25" t="s">
        <v>29</v>
      </c>
      <c r="C11" s="67" t="s">
        <v>30</v>
      </c>
      <c r="D11" s="68"/>
      <c r="E11" s="67" t="s">
        <v>31</v>
      </c>
      <c r="F11" s="68"/>
      <c r="G11" s="67" t="s">
        <v>32</v>
      </c>
      <c r="H11" s="68"/>
      <c r="I11" s="3" t="s">
        <v>33</v>
      </c>
      <c r="J11" s="10"/>
      <c r="K11" s="36">
        <v>22</v>
      </c>
      <c r="L11" s="49" t="s">
        <v>71</v>
      </c>
    </row>
    <row r="12" spans="1:12" ht="30" customHeight="1" x14ac:dyDescent="0.25">
      <c r="A12" s="26" t="s">
        <v>1</v>
      </c>
      <c r="B12" s="56"/>
      <c r="C12" s="76"/>
      <c r="D12" s="76"/>
      <c r="E12" s="76"/>
      <c r="F12" s="76"/>
      <c r="G12" s="76"/>
      <c r="H12" s="76"/>
      <c r="I12" s="22"/>
      <c r="J12" s="10"/>
      <c r="K12" s="36">
        <v>29</v>
      </c>
      <c r="L12" s="49" t="s">
        <v>70</v>
      </c>
    </row>
    <row r="13" spans="1:12" ht="30" customHeight="1" x14ac:dyDescent="0.25">
      <c r="A13" s="26" t="s">
        <v>2</v>
      </c>
      <c r="B13" s="27"/>
      <c r="C13" s="70"/>
      <c r="D13" s="70"/>
      <c r="E13" s="70"/>
      <c r="F13" s="70"/>
      <c r="G13" s="70"/>
      <c r="H13" s="70"/>
      <c r="I13" s="54"/>
      <c r="J13" s="20"/>
      <c r="K13" s="35"/>
      <c r="L13" s="18"/>
    </row>
    <row r="14" spans="1:12" ht="30" customHeight="1" x14ac:dyDescent="0.25">
      <c r="A14" s="26" t="s">
        <v>1</v>
      </c>
      <c r="B14" s="56"/>
      <c r="C14" s="76"/>
      <c r="D14" s="76"/>
      <c r="E14" s="76"/>
      <c r="F14" s="76"/>
      <c r="G14" s="76"/>
      <c r="H14" s="76"/>
      <c r="I14" s="22">
        <v>0.76041666666666663</v>
      </c>
      <c r="J14" s="32" t="s">
        <v>31</v>
      </c>
      <c r="K14" s="37">
        <v>2</v>
      </c>
      <c r="L14" s="49" t="s">
        <v>62</v>
      </c>
    </row>
    <row r="15" spans="1:12" ht="30" customHeight="1" x14ac:dyDescent="0.25">
      <c r="A15" s="26" t="s">
        <v>2</v>
      </c>
      <c r="B15" s="27"/>
      <c r="C15" s="70"/>
      <c r="D15" s="70"/>
      <c r="E15" s="70"/>
      <c r="F15" s="70"/>
      <c r="G15" s="70"/>
      <c r="H15" s="70"/>
      <c r="I15" s="27" t="s">
        <v>38</v>
      </c>
      <c r="J15" s="10"/>
      <c r="K15" s="36"/>
      <c r="L15" s="49"/>
    </row>
    <row r="16" spans="1:12" ht="30" customHeight="1" x14ac:dyDescent="0.25">
      <c r="A16" s="26" t="s">
        <v>1</v>
      </c>
      <c r="B16" s="56"/>
      <c r="C16" s="76"/>
      <c r="D16" s="76"/>
      <c r="E16" s="76"/>
      <c r="F16" s="76"/>
      <c r="G16" s="76"/>
      <c r="H16" s="76"/>
      <c r="I16" s="24">
        <v>0.82291666666666663</v>
      </c>
      <c r="J16" s="10"/>
      <c r="K16" s="36"/>
      <c r="L16" s="49"/>
    </row>
    <row r="17" spans="1:12" ht="30" customHeight="1" x14ac:dyDescent="0.25">
      <c r="A17" s="26" t="s">
        <v>2</v>
      </c>
      <c r="B17" s="27"/>
      <c r="C17" s="70"/>
      <c r="D17" s="70"/>
      <c r="E17" s="70"/>
      <c r="F17" s="70"/>
      <c r="G17" s="70"/>
      <c r="H17" s="70"/>
      <c r="I17" s="27" t="s">
        <v>41</v>
      </c>
      <c r="J17" s="10"/>
      <c r="K17" s="36"/>
      <c r="L17" s="49"/>
    </row>
    <row r="18" spans="1:12" ht="30" customHeight="1" x14ac:dyDescent="0.25">
      <c r="A18" s="26" t="s">
        <v>1</v>
      </c>
      <c r="B18" s="56"/>
      <c r="C18" s="76">
        <v>0.82986111111111116</v>
      </c>
      <c r="D18" s="76"/>
      <c r="E18" s="76"/>
      <c r="F18" s="76"/>
      <c r="G18" s="76"/>
      <c r="H18" s="76"/>
      <c r="I18" s="22"/>
      <c r="J18" s="10"/>
      <c r="K18" s="36"/>
      <c r="L18" s="49"/>
    </row>
    <row r="19" spans="1:12" ht="30" customHeight="1" x14ac:dyDescent="0.25">
      <c r="A19" s="26" t="s">
        <v>2</v>
      </c>
      <c r="B19" s="27"/>
      <c r="C19" s="77" t="s">
        <v>42</v>
      </c>
      <c r="D19" s="70"/>
      <c r="E19" s="70"/>
      <c r="F19" s="70"/>
      <c r="G19" s="70"/>
      <c r="H19" s="70"/>
      <c r="I19" s="47"/>
      <c r="J19" s="20"/>
      <c r="K19" s="35"/>
      <c r="L19" s="18"/>
    </row>
    <row r="20" spans="1:12" ht="30" customHeight="1" x14ac:dyDescent="0.25">
      <c r="A20" s="26" t="s">
        <v>1</v>
      </c>
      <c r="B20" s="56"/>
      <c r="C20" s="76">
        <v>0.875</v>
      </c>
      <c r="D20" s="76"/>
      <c r="E20" s="76"/>
      <c r="F20" s="76"/>
      <c r="G20" s="76"/>
      <c r="H20" s="76"/>
      <c r="I20" s="22"/>
      <c r="J20" s="10" t="s">
        <v>32</v>
      </c>
      <c r="K20" s="37"/>
      <c r="L20" s="49"/>
    </row>
    <row r="21" spans="1:12" ht="30" customHeight="1" x14ac:dyDescent="0.25">
      <c r="A21" s="26" t="s">
        <v>2</v>
      </c>
      <c r="B21" s="27"/>
      <c r="C21" s="77" t="s">
        <v>41</v>
      </c>
      <c r="D21" s="70"/>
      <c r="E21" s="70"/>
      <c r="F21" s="70"/>
      <c r="G21" s="70"/>
      <c r="H21" s="70"/>
      <c r="I21" s="54"/>
      <c r="J21" s="10"/>
      <c r="K21" s="36"/>
      <c r="L21" s="49"/>
    </row>
    <row r="22" spans="1:12" ht="30" customHeight="1" x14ac:dyDescent="0.25">
      <c r="A22" s="26" t="s">
        <v>1</v>
      </c>
      <c r="B22" s="56"/>
      <c r="C22" s="76" t="s">
        <v>43</v>
      </c>
      <c r="D22" s="76"/>
      <c r="E22" s="76"/>
      <c r="F22" s="76"/>
      <c r="G22" s="76"/>
      <c r="H22" s="76"/>
      <c r="I22" s="22"/>
      <c r="J22" s="10"/>
      <c r="K22" s="36"/>
      <c r="L22" s="49"/>
    </row>
    <row r="23" spans="1:12" ht="30" customHeight="1" x14ac:dyDescent="0.25">
      <c r="A23" s="26" t="s">
        <v>2</v>
      </c>
      <c r="B23" s="27"/>
      <c r="C23" s="78">
        <v>0.96180555555555547</v>
      </c>
      <c r="D23" s="70"/>
      <c r="E23" s="70"/>
      <c r="F23" s="70"/>
      <c r="G23" s="70"/>
      <c r="H23" s="70"/>
      <c r="I23" s="54"/>
      <c r="J23" s="10"/>
      <c r="K23" s="36"/>
      <c r="L23" s="49"/>
    </row>
    <row r="24" spans="1:12" ht="30" customHeight="1" x14ac:dyDescent="0.25">
      <c r="A24" s="26" t="s">
        <v>1</v>
      </c>
      <c r="B24" s="56"/>
      <c r="C24" s="76"/>
      <c r="D24" s="76"/>
      <c r="E24" s="76"/>
      <c r="F24" s="76"/>
      <c r="G24" s="76"/>
      <c r="H24" s="76"/>
      <c r="I24" s="22"/>
      <c r="J24" s="10"/>
      <c r="K24" s="36"/>
      <c r="L24" s="49"/>
    </row>
    <row r="25" spans="1:12" ht="30" customHeight="1" x14ac:dyDescent="0.25">
      <c r="A25" s="26" t="s">
        <v>2</v>
      </c>
      <c r="B25" s="27"/>
      <c r="C25" s="70"/>
      <c r="D25" s="70"/>
      <c r="E25" s="70"/>
      <c r="F25" s="70"/>
      <c r="G25" s="70"/>
      <c r="H25" s="70"/>
      <c r="I25" s="54"/>
      <c r="J25" s="20"/>
      <c r="K25" s="35"/>
      <c r="L25" s="18"/>
    </row>
    <row r="26" spans="1:12" ht="30" customHeight="1" x14ac:dyDescent="0.25">
      <c r="A26" s="26" t="s">
        <v>1</v>
      </c>
      <c r="B26" s="56"/>
      <c r="C26" s="76"/>
      <c r="D26" s="76"/>
      <c r="E26" s="76"/>
      <c r="F26" s="76"/>
      <c r="G26" s="76"/>
      <c r="H26" s="76"/>
      <c r="I26" s="22"/>
      <c r="J26" s="10" t="s">
        <v>33</v>
      </c>
      <c r="K26" s="37">
        <v>4</v>
      </c>
      <c r="L26" s="49" t="s">
        <v>64</v>
      </c>
    </row>
    <row r="27" spans="1:12" ht="30" customHeight="1" x14ac:dyDescent="0.25">
      <c r="A27" s="26" t="s">
        <v>2</v>
      </c>
      <c r="B27" s="27"/>
      <c r="C27" s="70"/>
      <c r="D27" s="70"/>
      <c r="E27" s="70"/>
      <c r="F27" s="70"/>
      <c r="G27" s="70"/>
      <c r="H27" s="70"/>
      <c r="I27" s="54"/>
      <c r="J27" s="10"/>
      <c r="K27" s="36">
        <v>11</v>
      </c>
      <c r="L27" s="49" t="s">
        <v>65</v>
      </c>
    </row>
    <row r="28" spans="1:12" ht="30" customHeight="1" x14ac:dyDescent="0.25">
      <c r="A28" s="26" t="s">
        <v>1</v>
      </c>
      <c r="B28" s="56"/>
      <c r="C28" s="76"/>
      <c r="D28" s="76"/>
      <c r="E28" s="76"/>
      <c r="F28" s="76"/>
      <c r="G28" s="76"/>
      <c r="H28" s="76"/>
      <c r="I28" s="22"/>
      <c r="J28" s="10"/>
      <c r="K28" s="36">
        <v>18</v>
      </c>
      <c r="L28" s="49" t="s">
        <v>69</v>
      </c>
    </row>
    <row r="29" spans="1:12" ht="30" customHeight="1" x14ac:dyDescent="0.25">
      <c r="A29" s="26" t="s">
        <v>2</v>
      </c>
      <c r="B29" s="27"/>
      <c r="C29" s="70"/>
      <c r="D29" s="70"/>
      <c r="E29" s="70"/>
      <c r="F29" s="70"/>
      <c r="G29" s="70"/>
      <c r="H29" s="70"/>
      <c r="I29" s="54"/>
      <c r="J29" s="10"/>
      <c r="K29" s="36">
        <v>25</v>
      </c>
      <c r="L29" s="49" t="s">
        <v>48</v>
      </c>
    </row>
    <row r="30" spans="1:12" ht="30" customHeight="1" x14ac:dyDescent="0.25">
      <c r="A30" s="26" t="s">
        <v>1</v>
      </c>
      <c r="B30" s="56"/>
      <c r="C30" s="76"/>
      <c r="D30" s="76"/>
      <c r="E30" s="76"/>
      <c r="F30" s="76"/>
      <c r="G30" s="76"/>
      <c r="H30" s="76"/>
      <c r="I30" s="22"/>
      <c r="J30" s="10"/>
      <c r="K30" s="36"/>
      <c r="L30" s="49"/>
    </row>
    <row r="31" spans="1:12" ht="30" customHeight="1" x14ac:dyDescent="0.25">
      <c r="A31" s="26" t="s">
        <v>2</v>
      </c>
      <c r="B31" s="28"/>
      <c r="C31" s="72"/>
      <c r="D31" s="72"/>
      <c r="E31" s="72"/>
      <c r="F31" s="72"/>
      <c r="G31" s="72"/>
      <c r="H31" s="72"/>
      <c r="I31" s="55"/>
      <c r="J31" s="45"/>
      <c r="K31" s="42"/>
      <c r="L31" s="49"/>
    </row>
  </sheetData>
  <mergeCells count="63">
    <mergeCell ref="C31:D31"/>
    <mergeCell ref="E31:F31"/>
    <mergeCell ref="G31:H31"/>
    <mergeCell ref="C29:D29"/>
    <mergeCell ref="E29:F29"/>
    <mergeCell ref="G29:H29"/>
    <mergeCell ref="C30:D30"/>
    <mergeCell ref="E30:F30"/>
    <mergeCell ref="G30:H30"/>
    <mergeCell ref="C27:D27"/>
    <mergeCell ref="E27:F27"/>
    <mergeCell ref="G27:H27"/>
    <mergeCell ref="C28:D28"/>
    <mergeCell ref="E28:F28"/>
    <mergeCell ref="G28:H28"/>
    <mergeCell ref="C25:D25"/>
    <mergeCell ref="E25:F25"/>
    <mergeCell ref="G25:H25"/>
    <mergeCell ref="C26:D26"/>
    <mergeCell ref="E26:F26"/>
    <mergeCell ref="G26:H26"/>
    <mergeCell ref="C23:D23"/>
    <mergeCell ref="E23:F23"/>
    <mergeCell ref="G23:H23"/>
    <mergeCell ref="C24:D24"/>
    <mergeCell ref="E24:F24"/>
    <mergeCell ref="G24:H24"/>
    <mergeCell ref="C21:D21"/>
    <mergeCell ref="E21:F21"/>
    <mergeCell ref="G21:H21"/>
    <mergeCell ref="C22:D22"/>
    <mergeCell ref="E22:F22"/>
    <mergeCell ref="G22:H22"/>
    <mergeCell ref="C19:D19"/>
    <mergeCell ref="E19:F19"/>
    <mergeCell ref="G19:H19"/>
    <mergeCell ref="C20:D20"/>
    <mergeCell ref="E20:F20"/>
    <mergeCell ref="G20:H20"/>
    <mergeCell ref="C17:D17"/>
    <mergeCell ref="E17:F17"/>
    <mergeCell ref="G17:H17"/>
    <mergeCell ref="C18:D18"/>
    <mergeCell ref="E18:F18"/>
    <mergeCell ref="G18:H18"/>
    <mergeCell ref="C15:D15"/>
    <mergeCell ref="E15:F15"/>
    <mergeCell ref="G15:H15"/>
    <mergeCell ref="C16:D16"/>
    <mergeCell ref="E16:F16"/>
    <mergeCell ref="G16:H16"/>
    <mergeCell ref="C13:D13"/>
    <mergeCell ref="E13:F13"/>
    <mergeCell ref="G13:H13"/>
    <mergeCell ref="C14:D14"/>
    <mergeCell ref="E14:F14"/>
    <mergeCell ref="G14:H14"/>
    <mergeCell ref="C11:D11"/>
    <mergeCell ref="E11:F11"/>
    <mergeCell ref="G11:H11"/>
    <mergeCell ref="C12:D12"/>
    <mergeCell ref="E12:F12"/>
    <mergeCell ref="G12:H12"/>
  </mergeCells>
  <conditionalFormatting sqref="C3:H3">
    <cfRule type="expression" dxfId="57" priority="12" stopIfTrue="1">
      <formula>DAY(C3)&gt;8</formula>
    </cfRule>
  </conditionalFormatting>
  <conditionalFormatting sqref="C7:I8">
    <cfRule type="expression" dxfId="56" priority="11" stopIfTrue="1">
      <formula>AND(DAY(C7)&gt;=1,DAY(C7)&lt;=15)</formula>
    </cfRule>
  </conditionalFormatting>
  <conditionalFormatting sqref="C3:I8">
    <cfRule type="expression" dxfId="55" priority="13">
      <formula>VLOOKUP(DAY(C3),AssignmentDays,1,FALSE)=DAY(C3)</formula>
    </cfRule>
  </conditionalFormatting>
  <conditionalFormatting sqref="B13:I13 B15:I15 B17:I17 B19:I19 B21:I21 B23:I23 B25:I25 B27:I27 B29:I29 B31:I31">
    <cfRule type="expression" dxfId="54" priority="4">
      <formula>B13&lt;&gt;""</formula>
    </cfRule>
  </conditionalFormatting>
  <conditionalFormatting sqref="B12:I12 B14:I14 B16:I16 B18:I18 B20:I20 B22:I22 B24:I24 B26:I26 B28:I28 B30:I30">
    <cfRule type="expression" dxfId="53" priority="3">
      <formula>B12&lt;&gt;""</formula>
    </cfRule>
  </conditionalFormatting>
  <conditionalFormatting sqref="B13:I13 B15:I15 B17:I17 B19:I19 B21:I21 B23:I23 B25:I25 B27:I27 B29:I29">
    <cfRule type="expression" dxfId="52" priority="2">
      <formula>COLUMN(B12)&gt;=2</formula>
    </cfRule>
  </conditionalFormatting>
  <conditionalFormatting sqref="B12:I31">
    <cfRule type="expression" dxfId="51" priority="1">
      <formula>COLUMN(B12)&gt;2</formula>
    </cfRule>
  </conditionalFormatting>
  <dataValidations count="13">
    <dataValidation allowBlank="1" showInputMessage="1" showErrorMessage="1" prompt="Escriba la clase en esta fila, de la columna B a la I." sqref="B13" xr:uid="{B36950D4-FAE2-473E-B603-FBD4B36E8975}"/>
    <dataValidation allowBlank="1" showInputMessage="1" showErrorMessage="1" prompt="Escriba la hora en esta fila, de la columna B a la I." sqref="B12" xr:uid="{C4ED7D30-B936-46D7-A833-1CAFAB3A6A22}"/>
    <dataValidation allowBlank="1" showInputMessage="1" showErrorMessage="1" prompt="Si esta fila contiene un número menor que el número o la fila de números anterior, en ese caso, esta fila contiene fechas para el próximo mes del calendario." sqref="C8" xr:uid="{00000000-0002-0000-0400-000002000000}"/>
    <dataValidation allowBlank="1" showInputMessage="1" showErrorMessage="1" prompt="Si esta celda no contiene el número 1, se trata de un día del mes anterior. Las celdas C3 a I8 contienen fechas para el mes actual." sqref="C3" xr:uid="{00000000-0002-0000-0400-000003000000}"/>
    <dataValidation allowBlank="1" showInputMessage="1" showErrorMessage="1" prompt="Las celdas C2 a I2 contienen días de la semana." sqref="C2" xr:uid="{00000000-0002-0000-0400-000004000000}"/>
    <dataValidation allowBlank="1" showInputMessage="1" showErrorMessage="1" prompt="Prepare una programación semanal y cree una lista de tareas en esta hoja de cálculo. Las tareas se resaltan automáticamente en el calendario mensual del año especificado en B1 de la hoja de cálculo de Ene." sqref="A1" xr:uid="{00000000-0002-0000-0400-000005000000}"/>
    <dataValidation allowBlank="1" showInputMessage="1" showErrorMessage="1" prompt="El año se actualiza automáticamente. Para cambiar el año, actualice la celda B1 en la hoja de cálculo de Ene." sqref="B1" xr:uid="{00000000-0002-0000-0400-000006000000}"/>
    <dataValidation allowBlank="1" showInputMessage="1" showErrorMessage="1" prompt="El calendario de mayo resalta automáticamente las entradas de la lista de tareas para el mes. Las fuentes más oscuras indican tareas. Las fuentes más claras indican días que pertenecen al mes anterior o siguiente." sqref="B2" xr:uid="{00000000-0002-0000-0400-000007000000}"/>
    <dataValidation allowBlank="1" showInputMessage="1" showErrorMessage="1" prompt="Los días de la semana se agrupan en esta columna con 6 filas para las tareas para cada día laborable agrupado del mes. Inserte las nuevas filas para agregar más tareas. El calendario a la izquierda resaltará elementos." sqref="J1" xr:uid="{00000000-0002-0000-0400-000008000000}"/>
    <dataValidation allowBlank="1" showInputMessage="1" showErrorMessage="1" prompt="Escriba en esta columna los detalles de la tarea correspondientes al día de la semana de la columna J y al día de la columna K del mes del calendario de la izquierda." sqref="L1" xr:uid="{E95D2018-1FD6-4AB0-A77E-F96110BB55E2}"/>
    <dataValidation allowBlank="1" showInputMessage="1" showErrorMessage="1" prompt="Escriba en esta columna el día de la tarea del mes que corresponda al día de la semana de la columna J. Esta fecha resaltará la tarea en el calendario de la izquierda." sqref="K1" xr:uid="{00000000-0002-0000-0400-00000A000000}"/>
    <dataValidation allowBlank="1" showInputMessage="1" showErrorMessage="1" prompt="Los días de la semana se encuentran en esta fila, del lunes al viernes." sqref="B11" xr:uid="{00000000-0002-0000-0400-00000B000000}"/>
    <dataValidation allowBlank="1" showInputMessage="1" showErrorMessage="1" prompt="Escriba la hora de la clase y debajo, en una nueva fila, el nombre de clase para cada día de la semana en las columnas B a I. Repita este patrón para todas las clases en las filas posteriores." sqref="B10" xr:uid="{00000000-0002-0000-0400-00000C000000}"/>
  </dataValidations>
  <printOptions horizontalCentered="1" verticalCentered="1"/>
  <pageMargins left="0.5" right="0.5" top="0.5" bottom="0.5" header="0.3" footer="0.3"/>
  <pageSetup paperSize="9" scale="58" orientation="landscape" r:id="rId1"/>
  <headerFooter differentFirst="1">
    <oddFooter>Page &amp;P of &amp;N</oddFooter>
  </headerFooter>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4"/>
    <pageSetUpPr fitToPage="1"/>
  </sheetPr>
  <dimension ref="A1:L31"/>
  <sheetViews>
    <sheetView showGridLines="0" tabSelected="1" zoomScale="70" zoomScaleNormal="70" zoomScalePageLayoutView="84" workbookViewId="0">
      <selection activeCell="L13" sqref="L13"/>
    </sheetView>
  </sheetViews>
  <sheetFormatPr baseColWidth="10" defaultColWidth="8.625" defaultRowHeight="30" customHeight="1" x14ac:dyDescent="0.2"/>
  <cols>
    <col min="1" max="1" width="2.625" style="1" customWidth="1"/>
    <col min="2" max="2" width="20.625" style="17" customWidth="1"/>
    <col min="3" max="8" width="10.625" style="1" customWidth="1"/>
    <col min="9" max="9" width="20.625" style="1" customWidth="1"/>
    <col min="10" max="10" width="10.625" style="17" customWidth="1"/>
    <col min="11" max="11" width="10.625" style="2" customWidth="1"/>
    <col min="12" max="12" width="70.625" style="1" customWidth="1"/>
    <col min="13" max="13" width="2.625" customWidth="1"/>
  </cols>
  <sheetData>
    <row r="1" spans="1:12" ht="30" customHeight="1" x14ac:dyDescent="0.2">
      <c r="A1" s="17"/>
      <c r="B1" s="60">
        <f ca="1">AñoCalendario</f>
        <v>2018</v>
      </c>
      <c r="C1" s="61"/>
      <c r="D1" s="61"/>
      <c r="E1" s="61"/>
      <c r="F1" s="61"/>
      <c r="G1" s="61"/>
      <c r="H1" s="61"/>
      <c r="I1" s="61"/>
      <c r="J1" s="62" t="s">
        <v>0</v>
      </c>
      <c r="K1" s="62" t="s">
        <v>14</v>
      </c>
      <c r="L1" s="63" t="s">
        <v>53</v>
      </c>
    </row>
    <row r="2" spans="1:12" ht="30" customHeight="1" x14ac:dyDescent="0.25">
      <c r="A2" s="13"/>
      <c r="B2" s="64" t="s">
        <v>22</v>
      </c>
      <c r="C2" s="7" t="s">
        <v>29</v>
      </c>
      <c r="D2" s="7" t="s">
        <v>30</v>
      </c>
      <c r="E2" s="7" t="s">
        <v>31</v>
      </c>
      <c r="F2" s="7" t="s">
        <v>32</v>
      </c>
      <c r="G2" s="7" t="s">
        <v>33</v>
      </c>
      <c r="H2" s="7" t="s">
        <v>34</v>
      </c>
      <c r="I2" s="7" t="s">
        <v>35</v>
      </c>
      <c r="J2" s="10" t="s">
        <v>29</v>
      </c>
      <c r="K2" s="42"/>
      <c r="L2" s="49"/>
    </row>
    <row r="3" spans="1:12" ht="30" customHeight="1" x14ac:dyDescent="0.25">
      <c r="A3" s="13"/>
      <c r="C3" s="6">
        <f ca="1">IF(DAY(JunDom1)=1,JunDom1-6,JunDom1+1)</f>
        <v>43248</v>
      </c>
      <c r="D3" s="6">
        <f ca="1">IF(DAY(JunDom1)=1,JunDom1-5,JunDom1+2)</f>
        <v>43249</v>
      </c>
      <c r="E3" s="6">
        <f ca="1">IF(DAY(JunDom1)=1,JunDom1-4,JunDom1+3)</f>
        <v>43250</v>
      </c>
      <c r="F3" s="6">
        <f ca="1">IF(DAY(JunDom1)=1,JunDom1-3,JunDom1+4)</f>
        <v>43251</v>
      </c>
      <c r="G3" s="6">
        <f ca="1">IF(DAY(JunDom1)=1,JunDom1-2,JunDom1+5)</f>
        <v>43252</v>
      </c>
      <c r="H3" s="6">
        <f ca="1">IF(DAY(JunDom1)=1,JunDom1-1,JunDom1+6)</f>
        <v>43253</v>
      </c>
      <c r="I3" s="6">
        <f ca="1">IF(DAY(JunDom1)=1,JunDom1,JunDom1+7)</f>
        <v>43254</v>
      </c>
      <c r="J3" s="10"/>
      <c r="K3" s="65"/>
      <c r="L3" s="66"/>
    </row>
    <row r="4" spans="1:12" ht="30" customHeight="1" x14ac:dyDescent="0.25">
      <c r="A4" s="13"/>
      <c r="C4" s="6">
        <f ca="1">IF(DAY(JunDom1)=1,JunDom1+1,JunDom1+8)</f>
        <v>43255</v>
      </c>
      <c r="D4" s="6">
        <f ca="1">IF(DAY(JunDom1)=1,JunDom1+2,JunDom1+9)</f>
        <v>43256</v>
      </c>
      <c r="E4" s="6">
        <f ca="1">IF(DAY(JunDom1)=1,JunDom1+3,JunDom1+10)</f>
        <v>43257</v>
      </c>
      <c r="F4" s="6">
        <f ca="1">IF(DAY(JunDom1)=1,JunDom1+4,JunDom1+11)</f>
        <v>43258</v>
      </c>
      <c r="G4" s="6">
        <f ca="1">IF(DAY(JunDom1)=1,JunDom1+5,JunDom1+12)</f>
        <v>43259</v>
      </c>
      <c r="H4" s="6">
        <f ca="1">IF(DAY(JunDom1)=1,JunDom1+6,JunDom1+13)</f>
        <v>43260</v>
      </c>
      <c r="I4" s="6">
        <f ca="1">IF(DAY(JunDom1)=1,JunDom1+7,JunDom1+14)</f>
        <v>43261</v>
      </c>
      <c r="J4" s="10"/>
      <c r="K4" s="36"/>
      <c r="L4" s="49"/>
    </row>
    <row r="5" spans="1:12" ht="30" customHeight="1" x14ac:dyDescent="0.25">
      <c r="A5" s="13"/>
      <c r="C5" s="6">
        <f ca="1">IF(DAY(JunDom1)=1,JunDom1+8,JunDom1+15)</f>
        <v>43262</v>
      </c>
      <c r="D5" s="6">
        <f ca="1">IF(DAY(JunDom1)=1,JunDom1+9,JunDom1+16)</f>
        <v>43263</v>
      </c>
      <c r="E5" s="6">
        <f ca="1">IF(DAY(JunDom1)=1,JunDom1+10,JunDom1+17)</f>
        <v>43264</v>
      </c>
      <c r="F5" s="6">
        <f ca="1">IF(DAY(JunDom1)=1,JunDom1+11,JunDom1+18)</f>
        <v>43265</v>
      </c>
      <c r="G5" s="6">
        <f ca="1">IF(DAY(JunDom1)=1,JunDom1+12,JunDom1+19)</f>
        <v>43266</v>
      </c>
      <c r="H5" s="6">
        <f ca="1">IF(DAY(JunDom1)=1,JunDom1+13,JunDom1+20)</f>
        <v>43267</v>
      </c>
      <c r="I5" s="6">
        <f ca="1">IF(DAY(JunDom1)=1,JunDom1+14,JunDom1+21)</f>
        <v>43268</v>
      </c>
      <c r="J5" s="10"/>
      <c r="K5" s="65"/>
      <c r="L5" s="66"/>
    </row>
    <row r="6" spans="1:12" ht="30" customHeight="1" x14ac:dyDescent="0.25">
      <c r="A6" s="13"/>
      <c r="C6" s="6">
        <f ca="1">IF(DAY(JunDom1)=1,JunDom1+15,JunDom1+22)</f>
        <v>43269</v>
      </c>
      <c r="D6" s="6">
        <f ca="1">IF(DAY(JunDom1)=1,JunDom1+16,JunDom1+23)</f>
        <v>43270</v>
      </c>
      <c r="E6" s="6">
        <f ca="1">IF(DAY(JunDom1)=1,JunDom1+17,JunDom1+24)</f>
        <v>43271</v>
      </c>
      <c r="F6" s="6">
        <f ca="1">IF(DAY(JunDom1)=1,JunDom1+18,JunDom1+25)</f>
        <v>43272</v>
      </c>
      <c r="G6" s="6">
        <f ca="1">IF(DAY(JunDom1)=1,JunDom1+19,JunDom1+26)</f>
        <v>43273</v>
      </c>
      <c r="H6" s="6">
        <f ca="1">IF(DAY(JunDom1)=1,JunDom1+20,JunDom1+27)</f>
        <v>43274</v>
      </c>
      <c r="I6" s="6">
        <f ca="1">IF(DAY(JunDom1)=1,JunDom1+21,JunDom1+28)</f>
        <v>43275</v>
      </c>
      <c r="J6" s="10"/>
      <c r="K6" s="36"/>
      <c r="L6" s="49"/>
    </row>
    <row r="7" spans="1:12" ht="30" customHeight="1" x14ac:dyDescent="0.25">
      <c r="A7" s="13"/>
      <c r="C7" s="6">
        <f ca="1">IF(DAY(JunDom1)=1,JunDom1+22,JunDom1+29)</f>
        <v>43276</v>
      </c>
      <c r="D7" s="6">
        <f ca="1">IF(DAY(JunDom1)=1,JunDom1+23,JunDom1+30)</f>
        <v>43277</v>
      </c>
      <c r="E7" s="6">
        <f ca="1">IF(DAY(JunDom1)=1,JunDom1+24,JunDom1+31)</f>
        <v>43278</v>
      </c>
      <c r="F7" s="6">
        <f ca="1">IF(DAY(JunDom1)=1,JunDom1+25,JunDom1+32)</f>
        <v>43279</v>
      </c>
      <c r="G7" s="6">
        <f ca="1">IF(DAY(JunDom1)=1,JunDom1+26,JunDom1+33)</f>
        <v>43280</v>
      </c>
      <c r="H7" s="6">
        <f ca="1">IF(DAY(JunDom1)=1,JunDom1+27,JunDom1+34)</f>
        <v>43281</v>
      </c>
      <c r="I7" s="6">
        <f ca="1">IF(DAY(JunDom1)=1,JunDom1+28,JunDom1+35)</f>
        <v>43282</v>
      </c>
      <c r="J7" s="38"/>
      <c r="K7" s="35"/>
      <c r="L7" s="52"/>
    </row>
    <row r="8" spans="1:12" ht="30" customHeight="1" x14ac:dyDescent="0.25">
      <c r="A8" s="13"/>
      <c r="B8" s="18"/>
      <c r="C8" s="6">
        <f ca="1">IF(DAY(JunDom1)=1,JunDom1+29,JunDom1+36)</f>
        <v>43283</v>
      </c>
      <c r="D8" s="6">
        <f ca="1">IF(DAY(JunDom1)=1,JunDom1+30,JunDom1+37)</f>
        <v>43284</v>
      </c>
      <c r="E8" s="6">
        <f ca="1">IF(DAY(JunDom1)=1,JunDom1+31,JunDom1+38)</f>
        <v>43285</v>
      </c>
      <c r="F8" s="6">
        <f ca="1">IF(DAY(JunDom1)=1,JunDom1+32,JunDom1+39)</f>
        <v>43286</v>
      </c>
      <c r="G8" s="6">
        <f ca="1">IF(DAY(JunDom1)=1,JunDom1+33,JunDom1+40)</f>
        <v>43287</v>
      </c>
      <c r="H8" s="6">
        <f ca="1">IF(DAY(JunDom1)=1,JunDom1+34,JunDom1+41)</f>
        <v>43288</v>
      </c>
      <c r="I8" s="6">
        <f ca="1">IF(DAY(JunDom1)=1,JunDom1+35,JunDom1+42)</f>
        <v>43289</v>
      </c>
      <c r="J8" s="10" t="s">
        <v>30</v>
      </c>
      <c r="K8" s="37">
        <v>5</v>
      </c>
      <c r="L8" s="49" t="s">
        <v>72</v>
      </c>
    </row>
    <row r="9" spans="1:12" ht="30" customHeight="1" x14ac:dyDescent="0.25">
      <c r="A9" s="13"/>
      <c r="C9" s="4"/>
      <c r="D9" s="4"/>
      <c r="E9" s="4"/>
      <c r="F9" s="4"/>
      <c r="G9" s="4"/>
      <c r="H9" s="4"/>
      <c r="I9" s="4"/>
      <c r="J9" s="10"/>
      <c r="K9" s="36">
        <v>12</v>
      </c>
      <c r="L9" s="49" t="s">
        <v>51</v>
      </c>
    </row>
    <row r="10" spans="1:12" ht="30" customHeight="1" x14ac:dyDescent="0.25">
      <c r="A10" s="13"/>
      <c r="B10" s="16" t="s">
        <v>4</v>
      </c>
      <c r="C10" s="9"/>
      <c r="D10" s="9"/>
      <c r="E10" s="9"/>
      <c r="F10" s="9"/>
      <c r="G10" s="9"/>
      <c r="H10" s="9"/>
      <c r="I10" s="9"/>
      <c r="J10" s="10"/>
      <c r="K10" s="36"/>
      <c r="L10" s="49"/>
    </row>
    <row r="11" spans="1:12" ht="30" customHeight="1" x14ac:dyDescent="0.25">
      <c r="A11" s="26" t="s">
        <v>0</v>
      </c>
      <c r="B11" s="25" t="s">
        <v>29</v>
      </c>
      <c r="C11" s="67" t="s">
        <v>30</v>
      </c>
      <c r="D11" s="68"/>
      <c r="E11" s="67" t="s">
        <v>31</v>
      </c>
      <c r="F11" s="68"/>
      <c r="G11" s="67" t="s">
        <v>32</v>
      </c>
      <c r="H11" s="68"/>
      <c r="I11" s="3" t="s">
        <v>33</v>
      </c>
      <c r="J11" s="10"/>
      <c r="K11" s="36">
        <v>26</v>
      </c>
      <c r="L11" s="49" t="s">
        <v>73</v>
      </c>
    </row>
    <row r="12" spans="1:12" ht="30" customHeight="1" x14ac:dyDescent="0.25">
      <c r="A12" s="26" t="s">
        <v>1</v>
      </c>
      <c r="B12" s="56"/>
      <c r="C12" s="76"/>
      <c r="D12" s="76"/>
      <c r="E12" s="76"/>
      <c r="F12" s="76"/>
      <c r="G12" s="76"/>
      <c r="H12" s="76"/>
      <c r="I12" s="22"/>
      <c r="J12" s="10"/>
      <c r="K12" s="36"/>
      <c r="L12" s="49"/>
    </row>
    <row r="13" spans="1:12" ht="30" customHeight="1" x14ac:dyDescent="0.25">
      <c r="A13" s="26" t="s">
        <v>2</v>
      </c>
      <c r="B13" s="27"/>
      <c r="C13" s="70"/>
      <c r="D13" s="70"/>
      <c r="E13" s="70"/>
      <c r="F13" s="70"/>
      <c r="G13" s="70"/>
      <c r="H13" s="70"/>
      <c r="I13" s="54"/>
      <c r="J13" s="20"/>
      <c r="K13" s="35"/>
      <c r="L13" s="18"/>
    </row>
    <row r="14" spans="1:12" ht="30" customHeight="1" x14ac:dyDescent="0.25">
      <c r="A14" s="26" t="s">
        <v>1</v>
      </c>
      <c r="B14" s="56"/>
      <c r="C14" s="76"/>
      <c r="D14" s="76"/>
      <c r="E14" s="76"/>
      <c r="F14" s="76"/>
      <c r="G14" s="76"/>
      <c r="H14" s="76"/>
      <c r="I14" s="22">
        <v>0.76041666666666663</v>
      </c>
      <c r="J14" s="10" t="s">
        <v>31</v>
      </c>
      <c r="K14" s="37"/>
      <c r="L14" s="49"/>
    </row>
    <row r="15" spans="1:12" ht="30" customHeight="1" x14ac:dyDescent="0.25">
      <c r="A15" s="26" t="s">
        <v>2</v>
      </c>
      <c r="B15" s="27"/>
      <c r="C15" s="70"/>
      <c r="D15" s="70"/>
      <c r="E15" s="70"/>
      <c r="F15" s="70"/>
      <c r="G15" s="70"/>
      <c r="H15" s="70"/>
      <c r="I15" s="27" t="s">
        <v>38</v>
      </c>
      <c r="J15" s="10"/>
      <c r="K15" s="36"/>
      <c r="L15" s="49"/>
    </row>
    <row r="16" spans="1:12" ht="30" customHeight="1" x14ac:dyDescent="0.25">
      <c r="A16" s="26" t="s">
        <v>1</v>
      </c>
      <c r="B16" s="56"/>
      <c r="C16" s="76"/>
      <c r="D16" s="76"/>
      <c r="E16" s="76"/>
      <c r="F16" s="76"/>
      <c r="G16" s="76"/>
      <c r="H16" s="76"/>
      <c r="I16" s="24">
        <v>0.82291666666666663</v>
      </c>
      <c r="J16" s="10"/>
      <c r="K16" s="36">
        <v>20</v>
      </c>
      <c r="L16" s="59" t="s">
        <v>50</v>
      </c>
    </row>
    <row r="17" spans="1:12" ht="30" customHeight="1" x14ac:dyDescent="0.25">
      <c r="A17" s="26" t="s">
        <v>2</v>
      </c>
      <c r="B17" s="27"/>
      <c r="C17" s="70"/>
      <c r="D17" s="70"/>
      <c r="E17" s="70"/>
      <c r="F17" s="70"/>
      <c r="G17" s="70"/>
      <c r="H17" s="70"/>
      <c r="I17" s="27" t="s">
        <v>41</v>
      </c>
      <c r="J17" s="10"/>
      <c r="K17" s="36"/>
      <c r="L17" s="49"/>
    </row>
    <row r="18" spans="1:12" ht="30" customHeight="1" x14ac:dyDescent="0.25">
      <c r="A18" s="26" t="s">
        <v>1</v>
      </c>
      <c r="B18" s="56"/>
      <c r="C18" s="76">
        <v>0.82986111111111116</v>
      </c>
      <c r="D18" s="76"/>
      <c r="E18" s="76"/>
      <c r="F18" s="76"/>
      <c r="G18" s="76"/>
      <c r="H18" s="76"/>
      <c r="I18" s="22"/>
      <c r="J18" s="10"/>
      <c r="K18" s="36"/>
      <c r="L18" s="49"/>
    </row>
    <row r="19" spans="1:12" ht="30" customHeight="1" x14ac:dyDescent="0.25">
      <c r="A19" s="26" t="s">
        <v>2</v>
      </c>
      <c r="B19" s="27"/>
      <c r="C19" s="77" t="s">
        <v>42</v>
      </c>
      <c r="D19" s="70"/>
      <c r="E19" s="70"/>
      <c r="F19" s="70"/>
      <c r="G19" s="70"/>
      <c r="H19" s="70"/>
      <c r="I19" s="47"/>
      <c r="J19" s="20"/>
      <c r="K19" s="35"/>
      <c r="L19" s="50"/>
    </row>
    <row r="20" spans="1:12" ht="30" customHeight="1" x14ac:dyDescent="0.25">
      <c r="A20" s="26" t="s">
        <v>1</v>
      </c>
      <c r="B20" s="56"/>
      <c r="C20" s="76">
        <v>0.875</v>
      </c>
      <c r="D20" s="76"/>
      <c r="E20" s="76"/>
      <c r="F20" s="76"/>
      <c r="G20" s="76"/>
      <c r="H20" s="76"/>
      <c r="I20" s="22"/>
      <c r="J20" s="10" t="s">
        <v>32</v>
      </c>
      <c r="K20" s="37"/>
      <c r="L20" s="49"/>
    </row>
    <row r="21" spans="1:12" ht="30" customHeight="1" x14ac:dyDescent="0.25">
      <c r="A21" s="26" t="s">
        <v>2</v>
      </c>
      <c r="B21" s="27"/>
      <c r="C21" s="77" t="s">
        <v>41</v>
      </c>
      <c r="D21" s="70"/>
      <c r="E21" s="70"/>
      <c r="F21" s="70"/>
      <c r="G21" s="70"/>
      <c r="H21" s="70"/>
      <c r="I21" s="54"/>
      <c r="J21" s="10"/>
      <c r="K21" s="36"/>
      <c r="L21" s="49"/>
    </row>
    <row r="22" spans="1:12" ht="30" customHeight="1" x14ac:dyDescent="0.25">
      <c r="A22" s="26" t="s">
        <v>1</v>
      </c>
      <c r="B22" s="56"/>
      <c r="C22" s="76" t="s">
        <v>43</v>
      </c>
      <c r="D22" s="76"/>
      <c r="E22" s="76"/>
      <c r="F22" s="76"/>
      <c r="G22" s="76"/>
      <c r="H22" s="76"/>
      <c r="I22" s="22"/>
      <c r="J22" s="10"/>
      <c r="K22" s="36"/>
      <c r="L22" s="49"/>
    </row>
    <row r="23" spans="1:12" ht="30" customHeight="1" x14ac:dyDescent="0.25">
      <c r="A23" s="26" t="s">
        <v>2</v>
      </c>
      <c r="B23" s="27"/>
      <c r="C23" s="78">
        <v>0.96180555555555547</v>
      </c>
      <c r="D23" s="70"/>
      <c r="E23" s="70"/>
      <c r="F23" s="70"/>
      <c r="G23" s="70"/>
      <c r="H23" s="70"/>
      <c r="I23" s="54"/>
      <c r="J23" s="10"/>
      <c r="K23" s="36"/>
      <c r="L23" s="49"/>
    </row>
    <row r="24" spans="1:12" ht="30" customHeight="1" x14ac:dyDescent="0.25">
      <c r="A24" s="26" t="s">
        <v>1</v>
      </c>
      <c r="B24" s="56"/>
      <c r="C24" s="76"/>
      <c r="D24" s="76"/>
      <c r="E24" s="76"/>
      <c r="F24" s="76"/>
      <c r="G24" s="76"/>
      <c r="H24" s="76"/>
      <c r="I24" s="22"/>
      <c r="J24" s="10"/>
      <c r="K24" s="36"/>
      <c r="L24" s="49"/>
    </row>
    <row r="25" spans="1:12" ht="30" customHeight="1" x14ac:dyDescent="0.25">
      <c r="A25" s="26" t="s">
        <v>2</v>
      </c>
      <c r="B25" s="27"/>
      <c r="C25" s="70"/>
      <c r="D25" s="70"/>
      <c r="E25" s="70"/>
      <c r="F25" s="70"/>
      <c r="G25" s="70"/>
      <c r="H25" s="70"/>
      <c r="I25" s="54"/>
      <c r="J25" s="20"/>
      <c r="K25" s="35"/>
      <c r="L25" s="50"/>
    </row>
    <row r="26" spans="1:12" ht="30" customHeight="1" x14ac:dyDescent="0.25">
      <c r="A26" s="26" t="s">
        <v>1</v>
      </c>
      <c r="B26" s="56"/>
      <c r="C26" s="76"/>
      <c r="D26" s="76"/>
      <c r="E26" s="76"/>
      <c r="F26" s="76"/>
      <c r="G26" s="76"/>
      <c r="H26" s="76"/>
      <c r="I26" s="22"/>
      <c r="J26" s="10" t="s">
        <v>33</v>
      </c>
      <c r="K26" s="65"/>
      <c r="L26" s="66"/>
    </row>
    <row r="27" spans="1:12" ht="30" customHeight="1" x14ac:dyDescent="0.25">
      <c r="A27" s="26" t="s">
        <v>2</v>
      </c>
      <c r="B27" s="27"/>
      <c r="C27" s="70"/>
      <c r="D27" s="70"/>
      <c r="E27" s="70"/>
      <c r="F27" s="70"/>
      <c r="G27" s="70"/>
      <c r="H27" s="70"/>
      <c r="I27" s="54"/>
      <c r="J27" s="10"/>
      <c r="K27" s="36"/>
      <c r="L27" s="49"/>
    </row>
    <row r="28" spans="1:12" ht="30" customHeight="1" x14ac:dyDescent="0.25">
      <c r="A28" s="26" t="s">
        <v>1</v>
      </c>
      <c r="B28" s="56"/>
      <c r="C28" s="76"/>
      <c r="D28" s="76"/>
      <c r="E28" s="76"/>
      <c r="F28" s="76"/>
      <c r="G28" s="76"/>
      <c r="H28" s="76"/>
      <c r="I28" s="22"/>
      <c r="J28" s="10"/>
      <c r="K28" s="36"/>
      <c r="L28" s="49"/>
    </row>
    <row r="29" spans="1:12" ht="30" customHeight="1" x14ac:dyDescent="0.25">
      <c r="A29" s="26" t="s">
        <v>2</v>
      </c>
      <c r="B29" s="27"/>
      <c r="C29" s="70"/>
      <c r="D29" s="70"/>
      <c r="E29" s="70"/>
      <c r="F29" s="70"/>
      <c r="G29" s="70"/>
      <c r="H29" s="70"/>
      <c r="I29" s="54"/>
      <c r="J29" s="10"/>
      <c r="K29" s="36"/>
      <c r="L29" s="49"/>
    </row>
    <row r="30" spans="1:12" ht="30" customHeight="1" x14ac:dyDescent="0.25">
      <c r="A30" s="26" t="s">
        <v>1</v>
      </c>
      <c r="B30" s="56"/>
      <c r="C30" s="76"/>
      <c r="D30" s="76"/>
      <c r="E30" s="76"/>
      <c r="F30" s="76"/>
      <c r="G30" s="76"/>
      <c r="H30" s="76"/>
      <c r="I30" s="22"/>
      <c r="J30" s="10"/>
      <c r="K30" s="36">
        <v>29</v>
      </c>
      <c r="L30" s="49" t="s">
        <v>52</v>
      </c>
    </row>
    <row r="31" spans="1:12" ht="30" customHeight="1" x14ac:dyDescent="0.25">
      <c r="A31" s="26" t="s">
        <v>2</v>
      </c>
      <c r="B31" s="28"/>
      <c r="C31" s="72"/>
      <c r="D31" s="72"/>
      <c r="E31" s="72"/>
      <c r="F31" s="72"/>
      <c r="G31" s="72"/>
      <c r="H31" s="72"/>
      <c r="I31" s="55"/>
      <c r="J31" s="10"/>
      <c r="K31" s="42"/>
      <c r="L31" s="51"/>
    </row>
  </sheetData>
  <mergeCells count="63">
    <mergeCell ref="C31:D31"/>
    <mergeCell ref="E31:F31"/>
    <mergeCell ref="G31:H31"/>
    <mergeCell ref="C29:D29"/>
    <mergeCell ref="E29:F29"/>
    <mergeCell ref="G29:H29"/>
    <mergeCell ref="C30:D30"/>
    <mergeCell ref="E30:F30"/>
    <mergeCell ref="G30:H30"/>
    <mergeCell ref="C27:D27"/>
    <mergeCell ref="E27:F27"/>
    <mergeCell ref="G27:H27"/>
    <mergeCell ref="C28:D28"/>
    <mergeCell ref="E28:F28"/>
    <mergeCell ref="G28:H28"/>
    <mergeCell ref="C25:D25"/>
    <mergeCell ref="E25:F25"/>
    <mergeCell ref="G25:H25"/>
    <mergeCell ref="C26:D26"/>
    <mergeCell ref="E26:F26"/>
    <mergeCell ref="G26:H26"/>
    <mergeCell ref="C23:D23"/>
    <mergeCell ref="E23:F23"/>
    <mergeCell ref="G23:H23"/>
    <mergeCell ref="C24:D24"/>
    <mergeCell ref="E24:F24"/>
    <mergeCell ref="G24:H24"/>
    <mergeCell ref="C21:D21"/>
    <mergeCell ref="E21:F21"/>
    <mergeCell ref="G21:H21"/>
    <mergeCell ref="C22:D22"/>
    <mergeCell ref="E22:F22"/>
    <mergeCell ref="G22:H22"/>
    <mergeCell ref="C19:D19"/>
    <mergeCell ref="E19:F19"/>
    <mergeCell ref="G19:H19"/>
    <mergeCell ref="C20:D20"/>
    <mergeCell ref="E20:F20"/>
    <mergeCell ref="G20:H20"/>
    <mergeCell ref="C17:D17"/>
    <mergeCell ref="E17:F17"/>
    <mergeCell ref="G17:H17"/>
    <mergeCell ref="C18:D18"/>
    <mergeCell ref="E18:F18"/>
    <mergeCell ref="G18:H18"/>
    <mergeCell ref="C15:D15"/>
    <mergeCell ref="E15:F15"/>
    <mergeCell ref="G15:H15"/>
    <mergeCell ref="C16:D16"/>
    <mergeCell ref="E16:F16"/>
    <mergeCell ref="G16:H16"/>
    <mergeCell ref="C13:D13"/>
    <mergeCell ref="E13:F13"/>
    <mergeCell ref="G13:H13"/>
    <mergeCell ref="C14:D14"/>
    <mergeCell ref="E14:F14"/>
    <mergeCell ref="G14:H14"/>
    <mergeCell ref="C11:D11"/>
    <mergeCell ref="E11:F11"/>
    <mergeCell ref="G11:H11"/>
    <mergeCell ref="C12:D12"/>
    <mergeCell ref="E12:F12"/>
    <mergeCell ref="G12:H12"/>
  </mergeCells>
  <conditionalFormatting sqref="C3:H3">
    <cfRule type="expression" dxfId="50" priority="10" stopIfTrue="1">
      <formula>DAY(C3)&gt;8</formula>
    </cfRule>
  </conditionalFormatting>
  <conditionalFormatting sqref="C7:I8">
    <cfRule type="expression" dxfId="49" priority="9" stopIfTrue="1">
      <formula>AND(DAY(C7)&gt;=1,DAY(C7)&lt;=15)</formula>
    </cfRule>
  </conditionalFormatting>
  <conditionalFormatting sqref="C3:I8">
    <cfRule type="expression" dxfId="48" priority="11">
      <formula>VLOOKUP(DAY(C3),AssignmentDays,1,FALSE)=DAY(C3)</formula>
    </cfRule>
  </conditionalFormatting>
  <conditionalFormatting sqref="B13:I13 B15:I15 B17:I17 B19:I19 B21:I21 B23:I23 B25:I25 B27:I27 B29:I29 B31:I31">
    <cfRule type="expression" dxfId="47" priority="4">
      <formula>B13&lt;&gt;""</formula>
    </cfRule>
  </conditionalFormatting>
  <conditionalFormatting sqref="B12:I12 B14:I14 B16:I16 B18:I18 B20:I20 B22:I22 B24:I24 B26:I26 B28:I28 B30:I30">
    <cfRule type="expression" dxfId="46" priority="3">
      <formula>B12&lt;&gt;""</formula>
    </cfRule>
  </conditionalFormatting>
  <conditionalFormatting sqref="B13:I13 B15:I15 B17:I17 B19:I19 B21:I21 B23:I23 B25:I25 B27:I27 B29:I29">
    <cfRule type="expression" dxfId="45" priority="2">
      <formula>COLUMN(B12)&gt;=2</formula>
    </cfRule>
  </conditionalFormatting>
  <conditionalFormatting sqref="B12:I31">
    <cfRule type="expression" dxfId="44" priority="1">
      <formula>COLUMN(B12)&gt;2</formula>
    </cfRule>
  </conditionalFormatting>
  <dataValidations xWindow="282" yWindow="780" count="13">
    <dataValidation allowBlank="1" showInputMessage="1" showErrorMessage="1" prompt="El calendario de junio resalta automáticamente las entradas de la lista de tareas para el mes. Las fuentes más oscuras indican tareas. Las fuentes más claras indican días que pertenecen al mes anterior o siguiente." sqref="B2" xr:uid="{00000000-0002-0000-0500-000000000000}"/>
    <dataValidation allowBlank="1" showInputMessage="1" showErrorMessage="1" prompt="El año se actualiza automáticamente. Para cambiar el año, actualice la celda B1 en la hoja de cálculo de Ene." sqref="B1" xr:uid="{00000000-0002-0000-0500-000001000000}"/>
    <dataValidation allowBlank="1" showInputMessage="1" showErrorMessage="1" prompt="Prepare una programación semanal y cree una lista de tareas en esta hoja de cálculo. Las tareas se resaltan automáticamente en el calendario mensual del año especificado en B1 de la hoja de cálculo de Ene." sqref="A1" xr:uid="{00000000-0002-0000-0500-000002000000}"/>
    <dataValidation allowBlank="1" showInputMessage="1" showErrorMessage="1" prompt="Las celdas C2 a I2 contienen días de la semana." sqref="C2" xr:uid="{00000000-0002-0000-0500-000003000000}"/>
    <dataValidation allowBlank="1" showInputMessage="1" showErrorMessage="1" prompt="Si esta celda no contiene el número 1, se trata de un día del mes anterior. Las celdas C3 a I8 contienen fechas para el mes actual." sqref="C3" xr:uid="{00000000-0002-0000-0500-000004000000}"/>
    <dataValidation allowBlank="1" showInputMessage="1" showErrorMessage="1" prompt="Si esta fila contiene un número menor que el número o la fila de números anterior, en ese caso, esta fila contiene fechas para el próximo mes del calendario." sqref="C8" xr:uid="{00000000-0002-0000-0500-000005000000}"/>
    <dataValidation allowBlank="1" showInputMessage="1" showErrorMessage="1" prompt="Escriba la hora en esta fila, de la columna B a la I." sqref="B12" xr:uid="{2066F227-99DF-4E3A-AF92-BDA883FBE1D2}"/>
    <dataValidation allowBlank="1" showInputMessage="1" showErrorMessage="1" prompt="Escriba la clase en esta fila, de la columna B a la I." sqref="B13" xr:uid="{744C4FD8-167C-499D-A3B0-2AB0925D2A95}"/>
    <dataValidation allowBlank="1" showInputMessage="1" showErrorMessage="1" prompt="Los días de la semana se agrupan en esta columna con 6 filas para las tareas para cada día laborable agrupado del mes. Inserte las nuevas filas para agregar más tareas. El calendario a la izquierda resaltará elementos." sqref="J1" xr:uid="{00000000-0002-0000-0500-000008000000}"/>
    <dataValidation allowBlank="1" showInputMessage="1" showErrorMessage="1" prompt="Escriba en esta columna los detalles de la tarea correspondientes al día de la semana de la columna J y al día de la columna K del mes del calendario de la izquierda." sqref="L1" xr:uid="{00000000-0002-0000-0500-000009000000}"/>
    <dataValidation allowBlank="1" showInputMessage="1" showErrorMessage="1" prompt="Escriba en esta columna el día de la tarea del mes que corresponda al día de la semana de la columna J. Esta fecha resaltará la tarea en el calendario de la izquierda." sqref="K1" xr:uid="{00000000-0002-0000-0500-00000A000000}"/>
    <dataValidation allowBlank="1" showInputMessage="1" showErrorMessage="1" prompt="Los días de la semana se encuentran en esta fila, del lunes al viernes." sqref="B11" xr:uid="{00000000-0002-0000-0500-00000B000000}"/>
    <dataValidation allowBlank="1" showInputMessage="1" showErrorMessage="1" prompt="Escriba la hora de la clase y debajo, en una nueva fila, el nombre de clase para cada día de la semana en las columnas B a I. Repita este patrón para todas las clases en las filas posteriores." sqref="B10" xr:uid="{00000000-0002-0000-0500-00000C000000}"/>
  </dataValidations>
  <printOptions horizontalCentered="1" verticalCentered="1"/>
  <pageMargins left="0.5" right="0.5" top="0.5" bottom="0.5" header="0.3" footer="0.3"/>
  <pageSetup paperSize="9" scale="58" orientation="landscape" r:id="rId1"/>
  <headerFooter differentFirst="1">
    <oddFooter>Page &amp;P of &amp;N</oddFooter>
  </headerFooter>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4"/>
    <pageSetUpPr fitToPage="1"/>
  </sheetPr>
  <dimension ref="A1:L31"/>
  <sheetViews>
    <sheetView showGridLines="0" zoomScale="70" zoomScaleNormal="70" zoomScalePageLayoutView="84" workbookViewId="0">
      <selection activeCell="C4" sqref="C4"/>
    </sheetView>
  </sheetViews>
  <sheetFormatPr baseColWidth="10" defaultColWidth="8.625" defaultRowHeight="30" customHeight="1" x14ac:dyDescent="0.2"/>
  <cols>
    <col min="1" max="1" width="2.625" style="1" customWidth="1"/>
    <col min="2" max="2" width="20.625" style="17" customWidth="1"/>
    <col min="3" max="8" width="10.625" style="1" customWidth="1"/>
    <col min="9" max="9" width="20.625" style="1" customWidth="1"/>
    <col min="10" max="10" width="10.625" style="17" customWidth="1"/>
    <col min="11" max="11" width="10.625" style="2" customWidth="1"/>
    <col min="12" max="12" width="70.625" style="1" customWidth="1"/>
    <col min="13" max="13" width="2.625" customWidth="1"/>
  </cols>
  <sheetData>
    <row r="1" spans="1:12" ht="30" customHeight="1" x14ac:dyDescent="0.2">
      <c r="A1" s="17"/>
      <c r="B1" s="60">
        <f ca="1">AñoCalendario</f>
        <v>2018</v>
      </c>
      <c r="C1" s="61"/>
      <c r="D1" s="61"/>
      <c r="E1" s="61"/>
      <c r="F1" s="61"/>
      <c r="G1" s="61"/>
      <c r="H1" s="61"/>
      <c r="I1" s="61"/>
      <c r="J1" s="62" t="s">
        <v>0</v>
      </c>
      <c r="K1" s="62" t="s">
        <v>14</v>
      </c>
      <c r="L1" s="63" t="s">
        <v>53</v>
      </c>
    </row>
    <row r="2" spans="1:12" ht="30" customHeight="1" x14ac:dyDescent="0.25">
      <c r="A2" s="13"/>
      <c r="B2" s="64" t="s">
        <v>23</v>
      </c>
      <c r="C2" s="7" t="s">
        <v>29</v>
      </c>
      <c r="D2" s="7" t="s">
        <v>30</v>
      </c>
      <c r="E2" s="7" t="s">
        <v>31</v>
      </c>
      <c r="F2" s="7" t="s">
        <v>32</v>
      </c>
      <c r="G2" s="7" t="s">
        <v>33</v>
      </c>
      <c r="H2" s="7" t="s">
        <v>34</v>
      </c>
      <c r="I2" s="7" t="s">
        <v>35</v>
      </c>
      <c r="J2" s="10" t="s">
        <v>29</v>
      </c>
      <c r="K2" s="42"/>
      <c r="L2" s="49"/>
    </row>
    <row r="3" spans="1:12" ht="30" customHeight="1" x14ac:dyDescent="0.25">
      <c r="A3" s="13"/>
      <c r="C3" s="6">
        <f ca="1">IF(DAY(JulDom1)=1,JulDom1-6,JulDom1+1)</f>
        <v>43276</v>
      </c>
      <c r="D3" s="6">
        <f ca="1">IF(DAY(JulDom1)=1,JulDom1-5,JulDom1+2)</f>
        <v>43277</v>
      </c>
      <c r="E3" s="6">
        <f ca="1">IF(DAY(JulDom1)=1,JulDom1-4,JulDom1+3)</f>
        <v>43278</v>
      </c>
      <c r="F3" s="6">
        <f ca="1">IF(DAY(JulDom1)=1,JulDom1-3,JulDom1+4)</f>
        <v>43279</v>
      </c>
      <c r="G3" s="6">
        <f ca="1">IF(DAY(JulDom1)=1,JulDom1-2,JulDom1+5)</f>
        <v>43280</v>
      </c>
      <c r="H3" s="6">
        <f ca="1">IF(DAY(JulDom1)=1,JulDom1-1,JulDom1+6)</f>
        <v>43281</v>
      </c>
      <c r="I3" s="6">
        <f ca="1">IF(DAY(JulDom1)=1,JulDom1,JulDom1+7)</f>
        <v>43282</v>
      </c>
      <c r="J3" s="10"/>
      <c r="K3" s="36"/>
      <c r="L3" s="49"/>
    </row>
    <row r="4" spans="1:12" ht="30" customHeight="1" x14ac:dyDescent="0.25">
      <c r="A4" s="13"/>
      <c r="C4" s="6">
        <f ca="1">IF(DAY(JulDom1)=1,JulDom1+1,JulDom1+8)</f>
        <v>43283</v>
      </c>
      <c r="D4" s="6">
        <f ca="1">IF(DAY(JulDom1)=1,JulDom1+2,JulDom1+9)</f>
        <v>43284</v>
      </c>
      <c r="E4" s="6">
        <f ca="1">IF(DAY(JulDom1)=1,JulDom1+3,JulDom1+10)</f>
        <v>43285</v>
      </c>
      <c r="F4" s="6">
        <f ca="1">IF(DAY(JulDom1)=1,JulDom1+4,JulDom1+11)</f>
        <v>43286</v>
      </c>
      <c r="G4" s="6">
        <f ca="1">IF(DAY(JulDom1)=1,JulDom1+5,JulDom1+12)</f>
        <v>43287</v>
      </c>
      <c r="H4" s="6">
        <f ca="1">IF(DAY(JulDom1)=1,JulDom1+6,JulDom1+13)</f>
        <v>43288</v>
      </c>
      <c r="I4" s="6">
        <f ca="1">IF(DAY(JulDom1)=1,JulDom1+7,JulDom1+14)</f>
        <v>43289</v>
      </c>
      <c r="J4" s="10"/>
      <c r="K4" s="36"/>
      <c r="L4" s="49"/>
    </row>
    <row r="5" spans="1:12" ht="30" customHeight="1" x14ac:dyDescent="0.25">
      <c r="A5" s="13"/>
      <c r="C5" s="6">
        <f ca="1">IF(DAY(JulDom1)=1,JulDom1+8,JulDom1+15)</f>
        <v>43290</v>
      </c>
      <c r="D5" s="6">
        <f ca="1">IF(DAY(JulDom1)=1,JulDom1+9,JulDom1+16)</f>
        <v>43291</v>
      </c>
      <c r="E5" s="6">
        <f ca="1">IF(DAY(JulDom1)=1,JulDom1+10,JulDom1+17)</f>
        <v>43292</v>
      </c>
      <c r="F5" s="6">
        <f ca="1">IF(DAY(JulDom1)=1,JulDom1+11,JulDom1+18)</f>
        <v>43293</v>
      </c>
      <c r="G5" s="6">
        <f ca="1">IF(DAY(JulDom1)=1,JulDom1+12,JulDom1+19)</f>
        <v>43294</v>
      </c>
      <c r="H5" s="6">
        <f ca="1">IF(DAY(JulDom1)=1,JulDom1+13,JulDom1+20)</f>
        <v>43295</v>
      </c>
      <c r="I5" s="6">
        <f ca="1">IF(DAY(JulDom1)=1,JulDom1+14,JulDom1+21)</f>
        <v>43296</v>
      </c>
      <c r="J5" s="10"/>
      <c r="K5" s="36"/>
      <c r="L5" s="49"/>
    </row>
    <row r="6" spans="1:12" ht="30" customHeight="1" x14ac:dyDescent="0.25">
      <c r="A6" s="13"/>
      <c r="C6" s="6">
        <f ca="1">IF(DAY(JulDom1)=1,JulDom1+15,JulDom1+22)</f>
        <v>43297</v>
      </c>
      <c r="D6" s="6">
        <f ca="1">IF(DAY(JulDom1)=1,JulDom1+16,JulDom1+23)</f>
        <v>43298</v>
      </c>
      <c r="E6" s="6">
        <f ca="1">IF(DAY(JulDom1)=1,JulDom1+17,JulDom1+24)</f>
        <v>43299</v>
      </c>
      <c r="F6" s="6">
        <f ca="1">IF(DAY(JulDom1)=1,JulDom1+18,JulDom1+25)</f>
        <v>43300</v>
      </c>
      <c r="G6" s="6">
        <f ca="1">IF(DAY(JulDom1)=1,JulDom1+19,JulDom1+26)</f>
        <v>43301</v>
      </c>
      <c r="H6" s="6">
        <f ca="1">IF(DAY(JulDom1)=1,JulDom1+20,JulDom1+27)</f>
        <v>43302</v>
      </c>
      <c r="I6" s="6">
        <f ca="1">IF(DAY(JulDom1)=1,JulDom1+21,JulDom1+28)</f>
        <v>43303</v>
      </c>
      <c r="J6" s="10"/>
      <c r="K6" s="36"/>
      <c r="L6" s="49"/>
    </row>
    <row r="7" spans="1:12" ht="30" customHeight="1" x14ac:dyDescent="0.25">
      <c r="A7" s="13"/>
      <c r="C7" s="6">
        <f ca="1">IF(DAY(JulDom1)=1,JulDom1+22,JulDom1+29)</f>
        <v>43304</v>
      </c>
      <c r="D7" s="6">
        <f ca="1">IF(DAY(JulDom1)=1,JulDom1+23,JulDom1+30)</f>
        <v>43305</v>
      </c>
      <c r="E7" s="6">
        <f ca="1">IF(DAY(JulDom1)=1,JulDom1+24,JulDom1+31)</f>
        <v>43306</v>
      </c>
      <c r="F7" s="6">
        <f ca="1">IF(DAY(JulDom1)=1,JulDom1+25,JulDom1+32)</f>
        <v>43307</v>
      </c>
      <c r="G7" s="6">
        <f ca="1">IF(DAY(JulDom1)=1,JulDom1+26,JulDom1+33)</f>
        <v>43308</v>
      </c>
      <c r="H7" s="6">
        <f ca="1">IF(DAY(JulDom1)=1,JulDom1+27,JulDom1+34)</f>
        <v>43309</v>
      </c>
      <c r="I7" s="6">
        <f ca="1">IF(DAY(JulDom1)=1,JulDom1+28,JulDom1+35)</f>
        <v>43310</v>
      </c>
      <c r="J7" s="20"/>
      <c r="K7" s="35"/>
      <c r="L7" s="18"/>
    </row>
    <row r="8" spans="1:12" ht="30" customHeight="1" x14ac:dyDescent="0.25">
      <c r="A8" s="13"/>
      <c r="B8" s="18"/>
      <c r="C8" s="6">
        <f ca="1">IF(DAY(JulDom1)=1,JulDom1+29,JulDom1+36)</f>
        <v>43311</v>
      </c>
      <c r="D8" s="6">
        <f ca="1">IF(DAY(JulDom1)=1,JulDom1+30,JulDom1+37)</f>
        <v>43312</v>
      </c>
      <c r="E8" s="6">
        <f ca="1">IF(DAY(JulDom1)=1,JulDom1+31,JulDom1+38)</f>
        <v>43313</v>
      </c>
      <c r="F8" s="6">
        <f ca="1">IF(DAY(JulDom1)=1,JulDom1+32,JulDom1+39)</f>
        <v>43314</v>
      </c>
      <c r="G8" s="6">
        <f ca="1">IF(DAY(JulDom1)=1,JulDom1+33,JulDom1+40)</f>
        <v>43315</v>
      </c>
      <c r="H8" s="6">
        <f ca="1">IF(DAY(JulDom1)=1,JulDom1+34,JulDom1+41)</f>
        <v>43316</v>
      </c>
      <c r="I8" s="6">
        <f ca="1">IF(DAY(JulDom1)=1,JulDom1+35,JulDom1+42)</f>
        <v>43317</v>
      </c>
      <c r="J8" s="10" t="s">
        <v>30</v>
      </c>
      <c r="K8" s="37"/>
      <c r="L8" s="49"/>
    </row>
    <row r="9" spans="1:12" ht="30" customHeight="1" x14ac:dyDescent="0.25">
      <c r="A9" s="13"/>
      <c r="C9" s="4"/>
      <c r="D9" s="4"/>
      <c r="E9" s="4"/>
      <c r="F9" s="4"/>
      <c r="G9" s="4"/>
      <c r="H9" s="4"/>
      <c r="I9" s="4"/>
      <c r="J9" s="10"/>
      <c r="K9" s="36"/>
      <c r="L9" s="49"/>
    </row>
    <row r="10" spans="1:12" ht="30" customHeight="1" x14ac:dyDescent="0.25">
      <c r="A10" s="13"/>
      <c r="B10" s="16" t="s">
        <v>4</v>
      </c>
      <c r="C10" s="9"/>
      <c r="D10" s="9"/>
      <c r="E10" s="9"/>
      <c r="F10" s="9"/>
      <c r="G10" s="9"/>
      <c r="H10" s="9"/>
      <c r="I10" s="9"/>
      <c r="J10" s="10"/>
      <c r="K10" s="36"/>
      <c r="L10" s="49"/>
    </row>
    <row r="11" spans="1:12" ht="30" customHeight="1" x14ac:dyDescent="0.25">
      <c r="A11" s="26" t="s">
        <v>0</v>
      </c>
      <c r="B11" s="25" t="s">
        <v>29</v>
      </c>
      <c r="C11" s="67" t="s">
        <v>30</v>
      </c>
      <c r="D11" s="68"/>
      <c r="E11" s="67" t="s">
        <v>31</v>
      </c>
      <c r="F11" s="68"/>
      <c r="G11" s="67" t="s">
        <v>32</v>
      </c>
      <c r="H11" s="68"/>
      <c r="I11" s="3" t="s">
        <v>33</v>
      </c>
      <c r="J11" s="10"/>
      <c r="K11" s="36"/>
      <c r="L11" s="49"/>
    </row>
    <row r="12" spans="1:12" ht="30" customHeight="1" x14ac:dyDescent="0.25">
      <c r="A12" s="26" t="s">
        <v>1</v>
      </c>
      <c r="B12" s="56"/>
      <c r="C12" s="76"/>
      <c r="D12" s="76"/>
      <c r="E12" s="76"/>
      <c r="F12" s="76"/>
      <c r="G12" s="76"/>
      <c r="H12" s="76"/>
      <c r="I12" s="22"/>
      <c r="J12" s="10"/>
      <c r="K12" s="36"/>
      <c r="L12" s="49"/>
    </row>
    <row r="13" spans="1:12" ht="30" customHeight="1" x14ac:dyDescent="0.25">
      <c r="A13" s="26" t="s">
        <v>2</v>
      </c>
      <c r="B13" s="27"/>
      <c r="C13" s="70"/>
      <c r="D13" s="70"/>
      <c r="E13" s="70"/>
      <c r="F13" s="70"/>
      <c r="G13" s="70"/>
      <c r="H13" s="70"/>
      <c r="I13" s="54"/>
      <c r="J13" s="20"/>
      <c r="K13" s="35"/>
      <c r="L13" s="18"/>
    </row>
    <row r="14" spans="1:12" ht="30" customHeight="1" x14ac:dyDescent="0.25">
      <c r="A14" s="26" t="s">
        <v>1</v>
      </c>
      <c r="B14" s="56"/>
      <c r="C14" s="76"/>
      <c r="D14" s="76"/>
      <c r="E14" s="76"/>
      <c r="F14" s="76"/>
      <c r="G14" s="76"/>
      <c r="H14" s="76"/>
      <c r="I14" s="22">
        <v>0.76041666666666663</v>
      </c>
      <c r="J14" s="10" t="s">
        <v>31</v>
      </c>
      <c r="K14" s="37"/>
      <c r="L14" s="49"/>
    </row>
    <row r="15" spans="1:12" ht="30" customHeight="1" x14ac:dyDescent="0.25">
      <c r="A15" s="26" t="s">
        <v>2</v>
      </c>
      <c r="B15" s="27"/>
      <c r="C15" s="70"/>
      <c r="D15" s="70"/>
      <c r="E15" s="70"/>
      <c r="F15" s="70"/>
      <c r="G15" s="70"/>
      <c r="H15" s="70"/>
      <c r="I15" s="27" t="s">
        <v>38</v>
      </c>
      <c r="J15" s="10"/>
      <c r="K15" s="36"/>
      <c r="L15" s="49"/>
    </row>
    <row r="16" spans="1:12" ht="30" customHeight="1" x14ac:dyDescent="0.25">
      <c r="A16" s="26" t="s">
        <v>1</v>
      </c>
      <c r="B16" s="56"/>
      <c r="C16" s="76"/>
      <c r="D16" s="76"/>
      <c r="E16" s="76"/>
      <c r="F16" s="76"/>
      <c r="G16" s="76"/>
      <c r="H16" s="76"/>
      <c r="I16" s="24">
        <v>0.82291666666666663</v>
      </c>
      <c r="J16" s="10"/>
      <c r="K16" s="36"/>
      <c r="L16" s="49"/>
    </row>
    <row r="17" spans="1:12" ht="30" customHeight="1" x14ac:dyDescent="0.25">
      <c r="A17" s="26" t="s">
        <v>2</v>
      </c>
      <c r="B17" s="27"/>
      <c r="C17" s="70"/>
      <c r="D17" s="70"/>
      <c r="E17" s="70"/>
      <c r="F17" s="70"/>
      <c r="G17" s="70"/>
      <c r="H17" s="70"/>
      <c r="I17" s="27" t="s">
        <v>41</v>
      </c>
      <c r="J17" s="10"/>
      <c r="K17" s="36"/>
      <c r="L17" s="49"/>
    </row>
    <row r="18" spans="1:12" ht="30" customHeight="1" x14ac:dyDescent="0.25">
      <c r="A18" s="26" t="s">
        <v>1</v>
      </c>
      <c r="B18" s="56"/>
      <c r="C18" s="76">
        <v>0.82986111111111116</v>
      </c>
      <c r="D18" s="76"/>
      <c r="E18" s="76"/>
      <c r="F18" s="76"/>
      <c r="G18" s="76"/>
      <c r="H18" s="76"/>
      <c r="I18" s="22"/>
      <c r="J18" s="10"/>
      <c r="K18" s="36"/>
      <c r="L18" s="49"/>
    </row>
    <row r="19" spans="1:12" ht="30" customHeight="1" x14ac:dyDescent="0.25">
      <c r="A19" s="26" t="s">
        <v>2</v>
      </c>
      <c r="B19" s="27"/>
      <c r="C19" s="77" t="s">
        <v>42</v>
      </c>
      <c r="D19" s="70"/>
      <c r="E19" s="70"/>
      <c r="F19" s="70"/>
      <c r="G19" s="70"/>
      <c r="H19" s="70"/>
      <c r="I19" s="47"/>
      <c r="J19" s="20"/>
      <c r="K19" s="35"/>
      <c r="L19" s="50"/>
    </row>
    <row r="20" spans="1:12" ht="30" customHeight="1" x14ac:dyDescent="0.25">
      <c r="A20" s="26" t="s">
        <v>1</v>
      </c>
      <c r="B20" s="56"/>
      <c r="C20" s="76">
        <v>0.875</v>
      </c>
      <c r="D20" s="76"/>
      <c r="E20" s="76"/>
      <c r="F20" s="76"/>
      <c r="G20" s="76"/>
      <c r="H20" s="76"/>
      <c r="I20" s="22"/>
      <c r="J20" s="10" t="s">
        <v>32</v>
      </c>
      <c r="K20" s="37"/>
      <c r="L20" s="49"/>
    </row>
    <row r="21" spans="1:12" ht="30" customHeight="1" x14ac:dyDescent="0.25">
      <c r="A21" s="26" t="s">
        <v>2</v>
      </c>
      <c r="B21" s="27"/>
      <c r="C21" s="77" t="s">
        <v>41</v>
      </c>
      <c r="D21" s="70"/>
      <c r="E21" s="70"/>
      <c r="F21" s="70"/>
      <c r="G21" s="70"/>
      <c r="H21" s="70"/>
      <c r="I21" s="54"/>
      <c r="J21" s="10"/>
      <c r="K21" s="36"/>
      <c r="L21" s="49"/>
    </row>
    <row r="22" spans="1:12" ht="30" customHeight="1" x14ac:dyDescent="0.25">
      <c r="A22" s="26" t="s">
        <v>1</v>
      </c>
      <c r="B22" s="56"/>
      <c r="C22" s="76" t="s">
        <v>43</v>
      </c>
      <c r="D22" s="76"/>
      <c r="E22" s="76"/>
      <c r="F22" s="76"/>
      <c r="G22" s="76"/>
      <c r="H22" s="76"/>
      <c r="I22" s="22"/>
      <c r="J22" s="10"/>
      <c r="K22" s="36"/>
      <c r="L22" s="49"/>
    </row>
    <row r="23" spans="1:12" ht="30" customHeight="1" x14ac:dyDescent="0.25">
      <c r="A23" s="26" t="s">
        <v>2</v>
      </c>
      <c r="B23" s="27"/>
      <c r="C23" s="78">
        <v>0.96180555555555547</v>
      </c>
      <c r="D23" s="70"/>
      <c r="E23" s="70"/>
      <c r="F23" s="70"/>
      <c r="G23" s="70"/>
      <c r="H23" s="70"/>
      <c r="I23" s="54"/>
      <c r="J23" s="10"/>
      <c r="K23" s="36"/>
      <c r="L23" s="49"/>
    </row>
    <row r="24" spans="1:12" ht="30" customHeight="1" x14ac:dyDescent="0.25">
      <c r="A24" s="26" t="s">
        <v>1</v>
      </c>
      <c r="B24" s="56"/>
      <c r="C24" s="76"/>
      <c r="D24" s="76"/>
      <c r="E24" s="76"/>
      <c r="F24" s="76"/>
      <c r="G24" s="76"/>
      <c r="H24" s="76"/>
      <c r="I24" s="22"/>
      <c r="J24" s="10"/>
      <c r="K24" s="36"/>
      <c r="L24" s="49"/>
    </row>
    <row r="25" spans="1:12" ht="30" customHeight="1" x14ac:dyDescent="0.25">
      <c r="A25" s="26" t="s">
        <v>2</v>
      </c>
      <c r="B25" s="27"/>
      <c r="C25" s="70"/>
      <c r="D25" s="70"/>
      <c r="E25" s="70"/>
      <c r="F25" s="70"/>
      <c r="G25" s="70"/>
      <c r="H25" s="70"/>
      <c r="I25" s="54"/>
      <c r="J25" s="20"/>
      <c r="K25" s="35"/>
      <c r="L25" s="50"/>
    </row>
    <row r="26" spans="1:12" ht="30" customHeight="1" x14ac:dyDescent="0.25">
      <c r="A26" s="26" t="s">
        <v>1</v>
      </c>
      <c r="B26" s="56"/>
      <c r="C26" s="76"/>
      <c r="D26" s="76"/>
      <c r="E26" s="76"/>
      <c r="F26" s="76"/>
      <c r="G26" s="76"/>
      <c r="H26" s="76"/>
      <c r="I26" s="22"/>
      <c r="J26" s="10" t="s">
        <v>33</v>
      </c>
      <c r="K26" s="37"/>
      <c r="L26" s="49"/>
    </row>
    <row r="27" spans="1:12" ht="30" customHeight="1" x14ac:dyDescent="0.25">
      <c r="A27" s="26" t="s">
        <v>2</v>
      </c>
      <c r="B27" s="27"/>
      <c r="C27" s="70"/>
      <c r="D27" s="70"/>
      <c r="E27" s="70"/>
      <c r="F27" s="70"/>
      <c r="G27" s="70"/>
      <c r="H27" s="70"/>
      <c r="I27" s="54"/>
      <c r="J27" s="10"/>
      <c r="K27" s="36"/>
      <c r="L27" s="49"/>
    </row>
    <row r="28" spans="1:12" ht="30" customHeight="1" x14ac:dyDescent="0.25">
      <c r="A28" s="26" t="s">
        <v>1</v>
      </c>
      <c r="B28" s="56"/>
      <c r="C28" s="76"/>
      <c r="D28" s="76"/>
      <c r="E28" s="76"/>
      <c r="F28" s="76"/>
      <c r="G28" s="76"/>
      <c r="H28" s="76"/>
      <c r="I28" s="22"/>
      <c r="J28" s="10"/>
      <c r="K28" s="36"/>
      <c r="L28" s="49"/>
    </row>
    <row r="29" spans="1:12" ht="30" customHeight="1" x14ac:dyDescent="0.25">
      <c r="A29" s="26" t="s">
        <v>2</v>
      </c>
      <c r="B29" s="27"/>
      <c r="C29" s="70"/>
      <c r="D29" s="70"/>
      <c r="E29" s="70"/>
      <c r="F29" s="70"/>
      <c r="G29" s="70"/>
      <c r="H29" s="70"/>
      <c r="I29" s="54"/>
      <c r="J29" s="10"/>
      <c r="K29" s="36"/>
      <c r="L29" s="49"/>
    </row>
    <row r="30" spans="1:12" ht="30" customHeight="1" x14ac:dyDescent="0.25">
      <c r="A30" s="26" t="s">
        <v>1</v>
      </c>
      <c r="B30" s="56"/>
      <c r="C30" s="76"/>
      <c r="D30" s="76"/>
      <c r="E30" s="76"/>
      <c r="F30" s="76"/>
      <c r="G30" s="76"/>
      <c r="H30" s="76"/>
      <c r="I30" s="22"/>
      <c r="J30" s="10"/>
      <c r="K30" s="36"/>
      <c r="L30" s="49"/>
    </row>
    <row r="31" spans="1:12" ht="30" customHeight="1" x14ac:dyDescent="0.25">
      <c r="A31" s="26" t="s">
        <v>2</v>
      </c>
      <c r="B31" s="28"/>
      <c r="C31" s="72"/>
      <c r="D31" s="72"/>
      <c r="E31" s="72"/>
      <c r="F31" s="72"/>
      <c r="G31" s="72"/>
      <c r="H31" s="72"/>
      <c r="I31" s="55"/>
      <c r="J31" s="10"/>
      <c r="K31" s="42"/>
      <c r="L31" s="51"/>
    </row>
  </sheetData>
  <mergeCells count="63">
    <mergeCell ref="C31:D31"/>
    <mergeCell ref="E31:F31"/>
    <mergeCell ref="G31:H31"/>
    <mergeCell ref="C29:D29"/>
    <mergeCell ref="E29:F29"/>
    <mergeCell ref="G29:H29"/>
    <mergeCell ref="C30:D30"/>
    <mergeCell ref="E30:F30"/>
    <mergeCell ref="G30:H30"/>
    <mergeCell ref="C27:D27"/>
    <mergeCell ref="E27:F27"/>
    <mergeCell ref="G27:H27"/>
    <mergeCell ref="C28:D28"/>
    <mergeCell ref="E28:F28"/>
    <mergeCell ref="G28:H28"/>
    <mergeCell ref="C25:D25"/>
    <mergeCell ref="E25:F25"/>
    <mergeCell ref="G25:H25"/>
    <mergeCell ref="C26:D26"/>
    <mergeCell ref="E26:F26"/>
    <mergeCell ref="G26:H26"/>
    <mergeCell ref="C23:D23"/>
    <mergeCell ref="E23:F23"/>
    <mergeCell ref="G23:H23"/>
    <mergeCell ref="C24:D24"/>
    <mergeCell ref="E24:F24"/>
    <mergeCell ref="G24:H24"/>
    <mergeCell ref="C21:D21"/>
    <mergeCell ref="E21:F21"/>
    <mergeCell ref="G21:H21"/>
    <mergeCell ref="C22:D22"/>
    <mergeCell ref="E22:F22"/>
    <mergeCell ref="G22:H22"/>
    <mergeCell ref="C19:D19"/>
    <mergeCell ref="E19:F19"/>
    <mergeCell ref="G19:H19"/>
    <mergeCell ref="C20:D20"/>
    <mergeCell ref="E20:F20"/>
    <mergeCell ref="G20:H20"/>
    <mergeCell ref="C17:D17"/>
    <mergeCell ref="E17:F17"/>
    <mergeCell ref="G17:H17"/>
    <mergeCell ref="C18:D18"/>
    <mergeCell ref="E18:F18"/>
    <mergeCell ref="G18:H18"/>
    <mergeCell ref="C15:D15"/>
    <mergeCell ref="E15:F15"/>
    <mergeCell ref="G15:H15"/>
    <mergeCell ref="C16:D16"/>
    <mergeCell ref="E16:F16"/>
    <mergeCell ref="G16:H16"/>
    <mergeCell ref="C13:D13"/>
    <mergeCell ref="E13:F13"/>
    <mergeCell ref="G13:H13"/>
    <mergeCell ref="C14:D14"/>
    <mergeCell ref="E14:F14"/>
    <mergeCell ref="G14:H14"/>
    <mergeCell ref="C11:D11"/>
    <mergeCell ref="E11:F11"/>
    <mergeCell ref="G11:H11"/>
    <mergeCell ref="C12:D12"/>
    <mergeCell ref="E12:F12"/>
    <mergeCell ref="G12:H12"/>
  </mergeCells>
  <conditionalFormatting sqref="C3:H3">
    <cfRule type="expression" dxfId="43" priority="10" stopIfTrue="1">
      <formula>DAY(C3)&gt;8</formula>
    </cfRule>
  </conditionalFormatting>
  <conditionalFormatting sqref="C7:I8">
    <cfRule type="expression" dxfId="42" priority="9" stopIfTrue="1">
      <formula>AND(DAY(C7)&gt;=1,DAY(C7)&lt;=15)</formula>
    </cfRule>
  </conditionalFormatting>
  <conditionalFormatting sqref="C3:I8">
    <cfRule type="expression" dxfId="41" priority="11">
      <formula>VLOOKUP(DAY(C3),AssignmentDays,1,FALSE)=DAY(C3)</formula>
    </cfRule>
  </conditionalFormatting>
  <conditionalFormatting sqref="B13:I13 B15:I15 B17:I17 B19:I19 B21:I21 B23:I23 B25:I25 B27:I27 B29:I29 B31:I31">
    <cfRule type="expression" dxfId="40" priority="4">
      <formula>B13&lt;&gt;""</formula>
    </cfRule>
  </conditionalFormatting>
  <conditionalFormatting sqref="B12:I12 B14:I14 B16:I16 B18:I18 B20:I20 B22:I22 B24:I24 B26:I26 B28:I28 B30:I30">
    <cfRule type="expression" dxfId="39" priority="3">
      <formula>B12&lt;&gt;""</formula>
    </cfRule>
  </conditionalFormatting>
  <conditionalFormatting sqref="B13:I13 B15:I15 B17:I17 B19:I19 B21:I21 B23:I23 B25:I25 B27:I27 B29:I29">
    <cfRule type="expression" dxfId="38" priority="2">
      <formula>COLUMN(B12)&gt;=2</formula>
    </cfRule>
  </conditionalFormatting>
  <conditionalFormatting sqref="B12:I31">
    <cfRule type="expression" dxfId="37" priority="1">
      <formula>COLUMN(B12)&gt;2</formula>
    </cfRule>
  </conditionalFormatting>
  <dataValidations xWindow="239" yWindow="583" count="13">
    <dataValidation allowBlank="1" showInputMessage="1" showErrorMessage="1" prompt="Escriba la clase en esta fila, de la columna B a la I." sqref="B13" xr:uid="{BCA52F48-AEEE-4F98-8EFE-CE6081745160}"/>
    <dataValidation allowBlank="1" showInputMessage="1" showErrorMessage="1" prompt="Escriba la hora en esta fila, de la columna B a la I." sqref="B12" xr:uid="{957B2734-8A3A-40D2-B13F-5C57BCE35071}"/>
    <dataValidation allowBlank="1" showInputMessage="1" showErrorMessage="1" prompt="Si esta fila contiene un número menor que el número o la fila de números anterior, en ese caso, esta fila contiene fechas para el próximo mes del calendario." sqref="C8" xr:uid="{00000000-0002-0000-0600-000002000000}"/>
    <dataValidation allowBlank="1" showInputMessage="1" showErrorMessage="1" prompt="Si esta celda no contiene el número 1, se trata de un día del mes anterior. Las celdas C3 a I8 contienen fechas para el mes actual." sqref="C3" xr:uid="{00000000-0002-0000-0600-000003000000}"/>
    <dataValidation allowBlank="1" showInputMessage="1" showErrorMessage="1" prompt="Las celdas C2 a I2 contienen días de la semana." sqref="C2" xr:uid="{00000000-0002-0000-0600-000004000000}"/>
    <dataValidation allowBlank="1" showInputMessage="1" showErrorMessage="1" prompt="Prepare una programación semanal y cree una lista de tareas en esta hoja de cálculo. Las tareas se resaltan automáticamente en el calendario mensual del año especificado en B1 de la hoja de cálculo de Ene." sqref="A1" xr:uid="{00000000-0002-0000-0600-000005000000}"/>
    <dataValidation allowBlank="1" showInputMessage="1" showErrorMessage="1" prompt="El año se actualiza automáticamente. Para cambiar el año, actualice la celda B1 en la hoja de cálculo de Ene." sqref="B1" xr:uid="{00000000-0002-0000-0600-000006000000}"/>
    <dataValidation allowBlank="1" showInputMessage="1" showErrorMessage="1" prompt="El calendario de julio resalta automáticamente las entradas de la lista de tareas para el mes. Las fuentes más oscuras indican tareas. Las fuentes más claras indican días que pertenecen al mes anterior o siguiente." sqref="B2" xr:uid="{00000000-0002-0000-0600-000007000000}"/>
    <dataValidation allowBlank="1" showInputMessage="1" showErrorMessage="1" prompt="Los días de la semana se agrupan en esta columna con 6 filas para las tareas para cada día laborable agrupado del mes. Inserte las nuevas filas para agregar más tareas. El calendario a la izquierda resaltará elementos." sqref="J1" xr:uid="{00000000-0002-0000-0600-000008000000}"/>
    <dataValidation allowBlank="1" showInputMessage="1" showErrorMessage="1" prompt="Escriba en esta columna los detalles de la tarea correspondientes al día de la semana de la columna J y al día de la columna K del mes del calendario de la izquierda." sqref="L1" xr:uid="{80F84132-B427-440E-A757-BBFD88C8245A}"/>
    <dataValidation allowBlank="1" showInputMessage="1" showErrorMessage="1" prompt="Escriba en esta columna el día de la tarea del mes que corresponda al día de la semana de la columna J. Esta fecha resaltará la tarea en el calendario de la izquierda." sqref="K1" xr:uid="{00000000-0002-0000-0600-00000A000000}"/>
    <dataValidation allowBlank="1" showInputMessage="1" showErrorMessage="1" prompt="Los días de la semana se encuentran en esta fila, del lunes al viernes." sqref="B11" xr:uid="{00000000-0002-0000-0600-00000B000000}"/>
    <dataValidation allowBlank="1" showInputMessage="1" showErrorMessage="1" prompt="Escriba la hora de la clase y debajo, en una nueva fila, el nombre de clase para cada día de la semana en las columnas B a I. Repita este patrón para todas las clases en las filas posteriores." sqref="B10" xr:uid="{00000000-0002-0000-0600-00000C000000}"/>
  </dataValidations>
  <printOptions horizontalCentered="1" verticalCentered="1"/>
  <pageMargins left="0.5" right="0.5" top="0.5" bottom="0.5" header="0.3" footer="0.3"/>
  <pageSetup paperSize="9" scale="58" orientation="landscape" r:id="rId1"/>
  <headerFooter differentFirst="1">
    <oddFooter>Page &amp;P of &amp;N</oddFooter>
  </headerFooter>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4"/>
    <pageSetUpPr fitToPage="1"/>
  </sheetPr>
  <dimension ref="A1:L31"/>
  <sheetViews>
    <sheetView showGridLines="0" zoomScaleNormal="100" zoomScalePageLayoutView="84" workbookViewId="0"/>
  </sheetViews>
  <sheetFormatPr baseColWidth="10" defaultColWidth="8.625" defaultRowHeight="30" customHeight="1" x14ac:dyDescent="0.2"/>
  <cols>
    <col min="1" max="1" width="2.625" style="1" customWidth="1"/>
    <col min="2" max="2" width="20.625" style="17" customWidth="1"/>
    <col min="3" max="8" width="10.625" style="1" customWidth="1"/>
    <col min="9" max="9" width="20.625" style="1" customWidth="1"/>
    <col min="10" max="10" width="10.625" style="17" customWidth="1"/>
    <col min="11" max="11" width="10.625" style="2" customWidth="1"/>
    <col min="12" max="12" width="70.625" style="1" customWidth="1"/>
    <col min="13" max="13" width="2.625" customWidth="1"/>
  </cols>
  <sheetData>
    <row r="1" spans="1:12" ht="30" customHeight="1" x14ac:dyDescent="0.2">
      <c r="A1" s="17"/>
      <c r="B1" s="12">
        <f ca="1">AñoCalendario</f>
        <v>2018</v>
      </c>
      <c r="J1" s="19" t="s">
        <v>0</v>
      </c>
      <c r="K1" s="19" t="s">
        <v>14</v>
      </c>
      <c r="L1" s="11" t="s">
        <v>15</v>
      </c>
    </row>
    <row r="2" spans="1:12" ht="30" customHeight="1" x14ac:dyDescent="0.25">
      <c r="A2" s="13"/>
      <c r="B2" s="23" t="s">
        <v>24</v>
      </c>
      <c r="C2" s="7" t="s">
        <v>29</v>
      </c>
      <c r="D2" s="7" t="s">
        <v>30</v>
      </c>
      <c r="E2" s="7" t="s">
        <v>31</v>
      </c>
      <c r="F2" s="7" t="s">
        <v>32</v>
      </c>
      <c r="G2" s="7" t="s">
        <v>33</v>
      </c>
      <c r="H2" s="7" t="s">
        <v>34</v>
      </c>
      <c r="I2" s="7" t="s">
        <v>35</v>
      </c>
      <c r="J2" s="10" t="s">
        <v>29</v>
      </c>
      <c r="K2" s="42"/>
      <c r="L2" s="49"/>
    </row>
    <row r="3" spans="1:12" ht="30" customHeight="1" x14ac:dyDescent="0.25">
      <c r="A3" s="13"/>
      <c r="C3" s="6">
        <f ca="1">IF(DAY(AgoDom1)=1,AgoDom1-6,AgoDom1+1)</f>
        <v>43311</v>
      </c>
      <c r="D3" s="6">
        <f ca="1">IF(DAY(AgoDom1)=1,AgoDom1-5,AgoDom1+2)</f>
        <v>43312</v>
      </c>
      <c r="E3" s="6">
        <f ca="1">IF(DAY(AgoDom1)=1,AgoDom1-4,AgoDom1+3)</f>
        <v>43313</v>
      </c>
      <c r="F3" s="6">
        <f ca="1">IF(DAY(AgoDom1)=1,AgoDom1-3,AgoDom1+4)</f>
        <v>43314</v>
      </c>
      <c r="G3" s="6">
        <f ca="1">IF(DAY(AgoDom1)=1,AgoDom1-2,AgoDom1+5)</f>
        <v>43315</v>
      </c>
      <c r="H3" s="6">
        <f ca="1">IF(DAY(AgoDom1)=1,AgoDom1-1,AgoDom1+6)</f>
        <v>43316</v>
      </c>
      <c r="I3" s="6">
        <f ca="1">IF(DAY(AgoDom1)=1,AgoDom1,AgoDom1+7)</f>
        <v>43317</v>
      </c>
      <c r="J3" s="10"/>
      <c r="K3" s="36"/>
      <c r="L3" s="49"/>
    </row>
    <row r="4" spans="1:12" ht="30" customHeight="1" x14ac:dyDescent="0.25">
      <c r="A4" s="13"/>
      <c r="C4" s="6">
        <f ca="1">IF(DAY(AgoDom1)=1,AgoDom1+1,AgoDom1+8)</f>
        <v>43318</v>
      </c>
      <c r="D4" s="6">
        <f ca="1">IF(DAY(AgoDom1)=1,AgoDom1+2,AgoDom1+9)</f>
        <v>43319</v>
      </c>
      <c r="E4" s="6">
        <f ca="1">IF(DAY(AgoDom1)=1,AgoDom1+3,AgoDom1+10)</f>
        <v>43320</v>
      </c>
      <c r="F4" s="6">
        <f ca="1">IF(DAY(AgoDom1)=1,AgoDom1+4,AgoDom1+11)</f>
        <v>43321</v>
      </c>
      <c r="G4" s="6">
        <f ca="1">IF(DAY(AgoDom1)=1,AgoDom1+5,AgoDom1+12)</f>
        <v>43322</v>
      </c>
      <c r="H4" s="6">
        <f ca="1">IF(DAY(AgoDom1)=1,AgoDom1+6,AgoDom1+13)</f>
        <v>43323</v>
      </c>
      <c r="I4" s="6">
        <f ca="1">IF(DAY(AgoDom1)=1,AgoDom1+7,AgoDom1+14)</f>
        <v>43324</v>
      </c>
      <c r="J4" s="10"/>
      <c r="K4" s="36"/>
      <c r="L4" s="49"/>
    </row>
    <row r="5" spans="1:12" ht="30" customHeight="1" x14ac:dyDescent="0.25">
      <c r="A5" s="13"/>
      <c r="C5" s="6">
        <f ca="1">IF(DAY(AgoDom1)=1,AgoDom1+8,AgoDom1+15)</f>
        <v>43325</v>
      </c>
      <c r="D5" s="6">
        <f ca="1">IF(DAY(AgoDom1)=1,AgoDom1+9,AgoDom1+16)</f>
        <v>43326</v>
      </c>
      <c r="E5" s="6">
        <f ca="1">IF(DAY(AgoDom1)=1,AgoDom1+10,AgoDom1+17)</f>
        <v>43327</v>
      </c>
      <c r="F5" s="6">
        <f ca="1">IF(DAY(AgoDom1)=1,AgoDom1+11,AgoDom1+18)</f>
        <v>43328</v>
      </c>
      <c r="G5" s="6">
        <f ca="1">IF(DAY(AgoDom1)=1,AgoDom1+12,AgoDom1+19)</f>
        <v>43329</v>
      </c>
      <c r="H5" s="6">
        <f ca="1">IF(DAY(AgoDom1)=1,AgoDom1+13,AgoDom1+20)</f>
        <v>43330</v>
      </c>
      <c r="I5" s="6">
        <f ca="1">IF(DAY(AgoDom1)=1,AgoDom1+14,AgoDom1+21)</f>
        <v>43331</v>
      </c>
      <c r="J5" s="10"/>
      <c r="K5" s="36"/>
      <c r="L5" s="49"/>
    </row>
    <row r="6" spans="1:12" ht="30" customHeight="1" x14ac:dyDescent="0.25">
      <c r="A6" s="13"/>
      <c r="C6" s="6">
        <f ca="1">IF(DAY(AgoDom1)=1,AgoDom1+15,AgoDom1+22)</f>
        <v>43332</v>
      </c>
      <c r="D6" s="6">
        <f ca="1">IF(DAY(AgoDom1)=1,AgoDom1+16,AgoDom1+23)</f>
        <v>43333</v>
      </c>
      <c r="E6" s="6">
        <f ca="1">IF(DAY(AgoDom1)=1,AgoDom1+17,AgoDom1+24)</f>
        <v>43334</v>
      </c>
      <c r="F6" s="6">
        <f ca="1">IF(DAY(AgoDom1)=1,AgoDom1+18,AgoDom1+25)</f>
        <v>43335</v>
      </c>
      <c r="G6" s="6">
        <f ca="1">IF(DAY(AgoDom1)=1,AgoDom1+19,AgoDom1+26)</f>
        <v>43336</v>
      </c>
      <c r="H6" s="6">
        <f ca="1">IF(DAY(AgoDom1)=1,AgoDom1+20,AgoDom1+27)</f>
        <v>43337</v>
      </c>
      <c r="I6" s="6">
        <f ca="1">IF(DAY(AgoDom1)=1,AgoDom1+21,AgoDom1+28)</f>
        <v>43338</v>
      </c>
      <c r="J6" s="10"/>
      <c r="K6" s="36"/>
      <c r="L6" s="49"/>
    </row>
    <row r="7" spans="1:12" ht="30" customHeight="1" x14ac:dyDescent="0.25">
      <c r="A7" s="13"/>
      <c r="C7" s="6">
        <f ca="1">IF(DAY(AgoDom1)=1,AgoDom1+22,AgoDom1+29)</f>
        <v>43339</v>
      </c>
      <c r="D7" s="6">
        <f ca="1">IF(DAY(AgoDom1)=1,AgoDom1+23,AgoDom1+30)</f>
        <v>43340</v>
      </c>
      <c r="E7" s="6">
        <f ca="1">IF(DAY(AgoDom1)=1,AgoDom1+24,AgoDom1+31)</f>
        <v>43341</v>
      </c>
      <c r="F7" s="6">
        <f ca="1">IF(DAY(AgoDom1)=1,AgoDom1+25,AgoDom1+32)</f>
        <v>43342</v>
      </c>
      <c r="G7" s="6">
        <f ca="1">IF(DAY(AgoDom1)=1,AgoDom1+26,AgoDom1+33)</f>
        <v>43343</v>
      </c>
      <c r="H7" s="6">
        <f ca="1">IF(DAY(AgoDom1)=1,AgoDom1+27,AgoDom1+34)</f>
        <v>43344</v>
      </c>
      <c r="I7" s="6">
        <f ca="1">IF(DAY(AgoDom1)=1,AgoDom1+28,AgoDom1+35)</f>
        <v>43345</v>
      </c>
      <c r="J7" s="20"/>
      <c r="K7" s="35"/>
      <c r="L7" s="18"/>
    </row>
    <row r="8" spans="1:12" ht="30" customHeight="1" x14ac:dyDescent="0.25">
      <c r="A8" s="13"/>
      <c r="B8" s="18"/>
      <c r="C8" s="6">
        <f ca="1">IF(DAY(AgoDom1)=1,AgoDom1+29,AgoDom1+36)</f>
        <v>43346</v>
      </c>
      <c r="D8" s="6">
        <f ca="1">IF(DAY(AgoDom1)=1,AgoDom1+30,AgoDom1+37)</f>
        <v>43347</v>
      </c>
      <c r="E8" s="6">
        <f ca="1">IF(DAY(AgoDom1)=1,AgoDom1+31,AgoDom1+38)</f>
        <v>43348</v>
      </c>
      <c r="F8" s="6">
        <f ca="1">IF(DAY(AgoDom1)=1,AgoDom1+32,AgoDom1+39)</f>
        <v>43349</v>
      </c>
      <c r="G8" s="6">
        <f ca="1">IF(DAY(AgoDom1)=1,AgoDom1+33,AgoDom1+40)</f>
        <v>43350</v>
      </c>
      <c r="H8" s="6">
        <f ca="1">IF(DAY(AgoDom1)=1,AgoDom1+34,AgoDom1+41)</f>
        <v>43351</v>
      </c>
      <c r="I8" s="6">
        <f ca="1">IF(DAY(AgoDom1)=1,AgoDom1+35,AgoDom1+42)</f>
        <v>43352</v>
      </c>
      <c r="J8" s="10" t="s">
        <v>30</v>
      </c>
      <c r="K8" s="37"/>
      <c r="L8" s="49"/>
    </row>
    <row r="9" spans="1:12" ht="30" customHeight="1" x14ac:dyDescent="0.25">
      <c r="A9" s="13"/>
      <c r="C9" s="4"/>
      <c r="D9" s="4"/>
      <c r="E9" s="4"/>
      <c r="F9" s="4"/>
      <c r="G9" s="4"/>
      <c r="H9" s="4"/>
      <c r="I9" s="4"/>
      <c r="J9" s="10"/>
      <c r="K9" s="36"/>
      <c r="L9" s="49"/>
    </row>
    <row r="10" spans="1:12" ht="30" customHeight="1" x14ac:dyDescent="0.25">
      <c r="A10" s="13"/>
      <c r="B10" s="16" t="s">
        <v>4</v>
      </c>
      <c r="C10" s="9"/>
      <c r="D10" s="9"/>
      <c r="E10" s="9"/>
      <c r="F10" s="9"/>
      <c r="G10" s="9"/>
      <c r="H10" s="9"/>
      <c r="I10" s="9"/>
      <c r="J10" s="10"/>
      <c r="K10" s="36"/>
      <c r="L10" s="49"/>
    </row>
    <row r="11" spans="1:12" ht="30" customHeight="1" x14ac:dyDescent="0.25">
      <c r="A11" s="26" t="s">
        <v>0</v>
      </c>
      <c r="B11" s="25" t="s">
        <v>29</v>
      </c>
      <c r="C11" s="67" t="s">
        <v>30</v>
      </c>
      <c r="D11" s="68"/>
      <c r="E11" s="67" t="s">
        <v>31</v>
      </c>
      <c r="F11" s="68"/>
      <c r="G11" s="67" t="s">
        <v>32</v>
      </c>
      <c r="H11" s="68"/>
      <c r="I11" s="3" t="s">
        <v>33</v>
      </c>
      <c r="J11" s="10"/>
      <c r="K11" s="36"/>
      <c r="L11" s="49"/>
    </row>
    <row r="12" spans="1:12" ht="30" customHeight="1" x14ac:dyDescent="0.25">
      <c r="A12" s="26" t="s">
        <v>1</v>
      </c>
      <c r="B12" s="21">
        <v>0.33333333333333331</v>
      </c>
      <c r="C12" s="76"/>
      <c r="D12" s="76"/>
      <c r="E12" s="76">
        <v>0.33333333333333331</v>
      </c>
      <c r="F12" s="76"/>
      <c r="G12" s="76"/>
      <c r="H12" s="76"/>
      <c r="I12" s="22">
        <v>0.33333333333333331</v>
      </c>
      <c r="J12" s="10"/>
      <c r="K12" s="36"/>
      <c r="L12" s="49"/>
    </row>
    <row r="13" spans="1:12" ht="30" customHeight="1" x14ac:dyDescent="0.25">
      <c r="A13" s="26" t="s">
        <v>2</v>
      </c>
      <c r="B13" s="27" t="s">
        <v>5</v>
      </c>
      <c r="C13" s="70"/>
      <c r="D13" s="70"/>
      <c r="E13" s="70" t="s">
        <v>5</v>
      </c>
      <c r="F13" s="70"/>
      <c r="G13" s="70"/>
      <c r="H13" s="70"/>
      <c r="I13" s="30" t="s">
        <v>5</v>
      </c>
      <c r="J13" s="20"/>
      <c r="K13" s="35"/>
      <c r="L13" s="18"/>
    </row>
    <row r="14" spans="1:12" ht="30" customHeight="1" x14ac:dyDescent="0.25">
      <c r="A14" s="26" t="s">
        <v>1</v>
      </c>
      <c r="B14" s="21"/>
      <c r="C14" s="76">
        <v>0.375</v>
      </c>
      <c r="D14" s="76"/>
      <c r="E14" s="76"/>
      <c r="F14" s="76"/>
      <c r="G14" s="76">
        <v>0.375</v>
      </c>
      <c r="H14" s="76"/>
      <c r="I14" s="22"/>
      <c r="J14" s="10" t="s">
        <v>31</v>
      </c>
      <c r="K14" s="37"/>
      <c r="L14" s="49"/>
    </row>
    <row r="15" spans="1:12" ht="30" customHeight="1" x14ac:dyDescent="0.25">
      <c r="A15" s="26" t="s">
        <v>2</v>
      </c>
      <c r="B15" s="27"/>
      <c r="C15" s="70" t="s">
        <v>11</v>
      </c>
      <c r="D15" s="70"/>
      <c r="E15" s="70"/>
      <c r="F15" s="70"/>
      <c r="G15" s="70" t="s">
        <v>11</v>
      </c>
      <c r="H15" s="70"/>
      <c r="I15" s="30"/>
      <c r="J15" s="10"/>
      <c r="K15" s="36"/>
      <c r="L15" s="49"/>
    </row>
    <row r="16" spans="1:12" ht="30" customHeight="1" x14ac:dyDescent="0.25">
      <c r="A16" s="26" t="s">
        <v>1</v>
      </c>
      <c r="B16" s="21" t="s">
        <v>6</v>
      </c>
      <c r="C16" s="76"/>
      <c r="D16" s="76"/>
      <c r="E16" s="76" t="s">
        <v>6</v>
      </c>
      <c r="F16" s="76"/>
      <c r="G16" s="76"/>
      <c r="H16" s="76"/>
      <c r="I16" s="24" t="s">
        <v>6</v>
      </c>
      <c r="J16" s="10"/>
      <c r="K16" s="36"/>
      <c r="L16" s="49"/>
    </row>
    <row r="17" spans="1:12" ht="30" customHeight="1" x14ac:dyDescent="0.25">
      <c r="A17" s="26" t="s">
        <v>2</v>
      </c>
      <c r="B17" s="27" t="s">
        <v>7</v>
      </c>
      <c r="C17" s="70"/>
      <c r="D17" s="70"/>
      <c r="E17" s="70" t="s">
        <v>7</v>
      </c>
      <c r="F17" s="70"/>
      <c r="G17" s="70"/>
      <c r="H17" s="70"/>
      <c r="I17" s="30" t="s">
        <v>7</v>
      </c>
      <c r="J17" s="10"/>
      <c r="K17" s="36"/>
      <c r="L17" s="49"/>
    </row>
    <row r="18" spans="1:12" ht="30" customHeight="1" x14ac:dyDescent="0.25">
      <c r="A18" s="26" t="s">
        <v>1</v>
      </c>
      <c r="B18" s="21"/>
      <c r="C18" s="76"/>
      <c r="D18" s="76"/>
      <c r="E18" s="76"/>
      <c r="F18" s="76"/>
      <c r="G18" s="76"/>
      <c r="H18" s="76"/>
      <c r="I18" s="22"/>
      <c r="J18" s="10"/>
      <c r="K18" s="36"/>
      <c r="L18" s="49"/>
    </row>
    <row r="19" spans="1:12" ht="30" customHeight="1" x14ac:dyDescent="0.25">
      <c r="A19" s="26" t="s">
        <v>2</v>
      </c>
      <c r="B19" s="27"/>
      <c r="C19" s="70"/>
      <c r="D19" s="70"/>
      <c r="E19" s="70"/>
      <c r="F19" s="70"/>
      <c r="G19" s="70"/>
      <c r="H19" s="70"/>
      <c r="I19" s="47"/>
      <c r="J19" s="20"/>
      <c r="K19" s="35"/>
      <c r="L19" s="50"/>
    </row>
    <row r="20" spans="1:12" ht="30" customHeight="1" x14ac:dyDescent="0.25">
      <c r="A20" s="26" t="s">
        <v>1</v>
      </c>
      <c r="B20" s="21"/>
      <c r="C20" s="76"/>
      <c r="D20" s="76"/>
      <c r="E20" s="76"/>
      <c r="F20" s="76"/>
      <c r="G20" s="76"/>
      <c r="H20" s="76"/>
      <c r="I20" s="22"/>
      <c r="J20" s="10" t="s">
        <v>32</v>
      </c>
      <c r="K20" s="37"/>
      <c r="L20" s="49"/>
    </row>
    <row r="21" spans="1:12" ht="30" customHeight="1" x14ac:dyDescent="0.25">
      <c r="A21" s="26" t="s">
        <v>2</v>
      </c>
      <c r="B21" s="27"/>
      <c r="C21" s="70"/>
      <c r="D21" s="70"/>
      <c r="E21" s="70"/>
      <c r="F21" s="70"/>
      <c r="G21" s="70"/>
      <c r="H21" s="70"/>
      <c r="I21" s="30"/>
      <c r="J21" s="10"/>
      <c r="K21" s="36"/>
      <c r="L21" s="49"/>
    </row>
    <row r="22" spans="1:12" ht="30" customHeight="1" x14ac:dyDescent="0.25">
      <c r="A22" s="26" t="s">
        <v>1</v>
      </c>
      <c r="B22" s="21"/>
      <c r="C22" s="76"/>
      <c r="D22" s="76"/>
      <c r="E22" s="76"/>
      <c r="F22" s="76"/>
      <c r="G22" s="76"/>
      <c r="H22" s="76"/>
      <c r="I22" s="22"/>
      <c r="J22" s="10"/>
      <c r="K22" s="36"/>
      <c r="L22" s="49"/>
    </row>
    <row r="23" spans="1:12" ht="30" customHeight="1" x14ac:dyDescent="0.25">
      <c r="A23" s="26" t="s">
        <v>2</v>
      </c>
      <c r="B23" s="27"/>
      <c r="C23" s="70"/>
      <c r="D23" s="70"/>
      <c r="E23" s="70"/>
      <c r="F23" s="70"/>
      <c r="G23" s="70"/>
      <c r="H23" s="70"/>
      <c r="I23" s="30"/>
      <c r="J23" s="10"/>
      <c r="K23" s="36"/>
      <c r="L23" s="49"/>
    </row>
    <row r="24" spans="1:12" ht="30" customHeight="1" x14ac:dyDescent="0.25">
      <c r="A24" s="26" t="s">
        <v>1</v>
      </c>
      <c r="B24" s="21" t="s">
        <v>8</v>
      </c>
      <c r="C24" s="76"/>
      <c r="D24" s="76"/>
      <c r="E24" s="76" t="s">
        <v>8</v>
      </c>
      <c r="F24" s="76"/>
      <c r="G24" s="76"/>
      <c r="H24" s="76"/>
      <c r="I24" s="22" t="s">
        <v>8</v>
      </c>
      <c r="J24" s="10"/>
      <c r="K24" s="36"/>
      <c r="L24" s="49"/>
    </row>
    <row r="25" spans="1:12" ht="30" customHeight="1" x14ac:dyDescent="0.25">
      <c r="A25" s="26" t="s">
        <v>2</v>
      </c>
      <c r="B25" s="27" t="s">
        <v>9</v>
      </c>
      <c r="C25" s="70"/>
      <c r="D25" s="70"/>
      <c r="E25" s="70" t="s">
        <v>9</v>
      </c>
      <c r="F25" s="70"/>
      <c r="G25" s="70"/>
      <c r="H25" s="70"/>
      <c r="I25" s="30" t="s">
        <v>9</v>
      </c>
      <c r="J25" s="20"/>
      <c r="K25" s="35"/>
      <c r="L25" s="50"/>
    </row>
    <row r="26" spans="1:12" ht="30" customHeight="1" x14ac:dyDescent="0.25">
      <c r="A26" s="26" t="s">
        <v>1</v>
      </c>
      <c r="B26" s="21"/>
      <c r="C26" s="76"/>
      <c r="D26" s="76"/>
      <c r="E26" s="76"/>
      <c r="F26" s="76"/>
      <c r="G26" s="76"/>
      <c r="H26" s="76"/>
      <c r="I26" s="22"/>
      <c r="J26" s="10" t="s">
        <v>33</v>
      </c>
      <c r="K26" s="37"/>
      <c r="L26" s="49"/>
    </row>
    <row r="27" spans="1:12" ht="30" customHeight="1" x14ac:dyDescent="0.25">
      <c r="A27" s="26" t="s">
        <v>2</v>
      </c>
      <c r="B27" s="27"/>
      <c r="C27" s="70"/>
      <c r="D27" s="70"/>
      <c r="E27" s="70"/>
      <c r="F27" s="70"/>
      <c r="G27" s="70"/>
      <c r="H27" s="70"/>
      <c r="I27" s="30"/>
      <c r="J27" s="10"/>
      <c r="K27" s="36"/>
      <c r="L27" s="49"/>
    </row>
    <row r="28" spans="1:12" ht="30" customHeight="1" x14ac:dyDescent="0.25">
      <c r="A28" s="26" t="s">
        <v>1</v>
      </c>
      <c r="B28" s="21"/>
      <c r="C28" s="76" t="s">
        <v>12</v>
      </c>
      <c r="D28" s="76"/>
      <c r="E28" s="76"/>
      <c r="F28" s="76"/>
      <c r="G28" s="76" t="s">
        <v>12</v>
      </c>
      <c r="H28" s="76"/>
      <c r="I28" s="22"/>
      <c r="J28" s="10"/>
      <c r="K28" s="36"/>
      <c r="L28" s="49"/>
    </row>
    <row r="29" spans="1:12" ht="30" customHeight="1" x14ac:dyDescent="0.25">
      <c r="A29" s="26" t="s">
        <v>2</v>
      </c>
      <c r="B29" s="27"/>
      <c r="C29" s="70" t="s">
        <v>13</v>
      </c>
      <c r="D29" s="70"/>
      <c r="E29" s="70"/>
      <c r="F29" s="70"/>
      <c r="G29" s="70" t="s">
        <v>13</v>
      </c>
      <c r="H29" s="70"/>
      <c r="I29" s="30"/>
      <c r="J29" s="10"/>
      <c r="K29" s="36"/>
      <c r="L29" s="49"/>
    </row>
    <row r="30" spans="1:12" ht="30" customHeight="1" x14ac:dyDescent="0.25">
      <c r="A30" s="26" t="s">
        <v>1</v>
      </c>
      <c r="B30" s="21"/>
      <c r="C30" s="76"/>
      <c r="D30" s="76"/>
      <c r="E30" s="76"/>
      <c r="F30" s="76"/>
      <c r="G30" s="76"/>
      <c r="H30" s="76"/>
      <c r="I30" s="22"/>
      <c r="J30" s="10"/>
      <c r="K30" s="36"/>
      <c r="L30" s="49"/>
    </row>
    <row r="31" spans="1:12" ht="30" customHeight="1" x14ac:dyDescent="0.25">
      <c r="A31" s="26" t="s">
        <v>2</v>
      </c>
      <c r="B31" s="28"/>
      <c r="C31" s="72"/>
      <c r="D31" s="72"/>
      <c r="E31" s="72"/>
      <c r="F31" s="72"/>
      <c r="G31" s="72"/>
      <c r="H31" s="72"/>
      <c r="I31" s="40"/>
      <c r="J31" s="10"/>
      <c r="K31" s="42"/>
      <c r="L31" s="51"/>
    </row>
  </sheetData>
  <mergeCells count="63">
    <mergeCell ref="C31:D31"/>
    <mergeCell ref="E31:F31"/>
    <mergeCell ref="G31:H31"/>
    <mergeCell ref="C29:D29"/>
    <mergeCell ref="E29:F29"/>
    <mergeCell ref="G29:H29"/>
    <mergeCell ref="C30:D30"/>
    <mergeCell ref="E30:F30"/>
    <mergeCell ref="G30:H30"/>
    <mergeCell ref="C27:D27"/>
    <mergeCell ref="E27:F27"/>
    <mergeCell ref="G27:H27"/>
    <mergeCell ref="C28:D28"/>
    <mergeCell ref="E28:F28"/>
    <mergeCell ref="G28:H28"/>
    <mergeCell ref="C25:D25"/>
    <mergeCell ref="E25:F25"/>
    <mergeCell ref="G25:H25"/>
    <mergeCell ref="C26:D26"/>
    <mergeCell ref="E26:F26"/>
    <mergeCell ref="G26:H26"/>
    <mergeCell ref="C23:D23"/>
    <mergeCell ref="E23:F23"/>
    <mergeCell ref="G23:H23"/>
    <mergeCell ref="C24:D24"/>
    <mergeCell ref="E24:F24"/>
    <mergeCell ref="G24:H24"/>
    <mergeCell ref="C21:D21"/>
    <mergeCell ref="E21:F21"/>
    <mergeCell ref="G21:H21"/>
    <mergeCell ref="C22:D22"/>
    <mergeCell ref="E22:F22"/>
    <mergeCell ref="G22:H22"/>
    <mergeCell ref="C19:D19"/>
    <mergeCell ref="E19:F19"/>
    <mergeCell ref="G19:H19"/>
    <mergeCell ref="C20:D20"/>
    <mergeCell ref="E20:F20"/>
    <mergeCell ref="G20:H20"/>
    <mergeCell ref="C17:D17"/>
    <mergeCell ref="E17:F17"/>
    <mergeCell ref="G17:H17"/>
    <mergeCell ref="C18:D18"/>
    <mergeCell ref="E18:F18"/>
    <mergeCell ref="G18:H18"/>
    <mergeCell ref="C15:D15"/>
    <mergeCell ref="E15:F15"/>
    <mergeCell ref="G15:H15"/>
    <mergeCell ref="C16:D16"/>
    <mergeCell ref="E16:F16"/>
    <mergeCell ref="G16:H16"/>
    <mergeCell ref="C13:D13"/>
    <mergeCell ref="E13:F13"/>
    <mergeCell ref="G13:H13"/>
    <mergeCell ref="C14:D14"/>
    <mergeCell ref="E14:F14"/>
    <mergeCell ref="G14:H14"/>
    <mergeCell ref="C11:D11"/>
    <mergeCell ref="E11:F11"/>
    <mergeCell ref="G11:H11"/>
    <mergeCell ref="C12:D12"/>
    <mergeCell ref="E12:F12"/>
    <mergeCell ref="G12:H12"/>
  </mergeCells>
  <conditionalFormatting sqref="C3:H3">
    <cfRule type="expression" dxfId="36" priority="6" stopIfTrue="1">
      <formula>DAY(C3)&gt;8</formula>
    </cfRule>
  </conditionalFormatting>
  <conditionalFormatting sqref="C7:I8">
    <cfRule type="expression" dxfId="35" priority="5" stopIfTrue="1">
      <formula>AND(DAY(C7)&gt;=1,DAY(C7)&lt;=15)</formula>
    </cfRule>
  </conditionalFormatting>
  <conditionalFormatting sqref="C3:I8">
    <cfRule type="expression" dxfId="34" priority="7">
      <formula>VLOOKUP(DAY(C3),AssignmentDays,1,FALSE)=DAY(C3)</formula>
    </cfRule>
  </conditionalFormatting>
  <conditionalFormatting sqref="B12:I12 B14:I14 B16:I16 B18:I18 B20:I20 B22:I22 B24:I24 B26:I26 B28:I28 B30:I30">
    <cfRule type="expression" dxfId="33" priority="4">
      <formula>B12&lt;&gt;""</formula>
    </cfRule>
  </conditionalFormatting>
  <conditionalFormatting sqref="B13:I13 B15:I15 B17:I17 B19:I19 B21:I21 B23:I23 B25:I25 B27:I27 B29:I29 B31:I31">
    <cfRule type="expression" dxfId="32" priority="3">
      <formula>B12&lt;&gt;""</formula>
    </cfRule>
  </conditionalFormatting>
  <conditionalFormatting sqref="B13:I13 B15:I15 B17:I17 B19:I19 B21:I21 B23:I23 B25:I25 B27:I27 B29:I29">
    <cfRule type="expression" dxfId="31" priority="2">
      <formula>COLUMN(B13)&gt;=2</formula>
    </cfRule>
  </conditionalFormatting>
  <conditionalFormatting sqref="B12:I31">
    <cfRule type="expression" dxfId="30" priority="1">
      <formula>COLUMN(B12)&gt;2</formula>
    </cfRule>
  </conditionalFormatting>
  <dataValidations xWindow="132" yWindow="585" count="13">
    <dataValidation allowBlank="1" showInputMessage="1" showErrorMessage="1" prompt="El calendario de agosto resalta automáticamente las entradas de la lista de tareas para el mes. Las fuentes más oscuras indican tareas. Las fuentes más claras indican días que pertenecen al mes anterior o siguiente." sqref="B2" xr:uid="{00000000-0002-0000-0700-000000000000}"/>
    <dataValidation allowBlank="1" showInputMessage="1" showErrorMessage="1" prompt="El año se actualiza automáticamente. Para cambiar el año, actualice la celda B1 en la hoja de cálculo de Ene." sqref="B1" xr:uid="{00000000-0002-0000-0700-000001000000}"/>
    <dataValidation allowBlank="1" showInputMessage="1" showErrorMessage="1" prompt="Prepare una programación semanal y cree una lista de tareas en esta hoja de cálculo. Las tareas se resaltan automáticamente en el calendario mensual del año especificado en B1 de la hoja de cálculo de Ene." sqref="A1" xr:uid="{00000000-0002-0000-0700-000002000000}"/>
    <dataValidation allowBlank="1" showInputMessage="1" showErrorMessage="1" prompt="Las celdas C2 a I2 contienen días de la semana." sqref="C2" xr:uid="{00000000-0002-0000-0700-000003000000}"/>
    <dataValidation allowBlank="1" showInputMessage="1" showErrorMessage="1" prompt="Si esta celda no contiene el número 1, se trata de un día del mes anterior. Las celdas C3 a I8 contienen fechas para el mes actual." sqref="C3" xr:uid="{00000000-0002-0000-0700-000004000000}"/>
    <dataValidation allowBlank="1" showInputMessage="1" showErrorMessage="1" prompt="Si esta fila contiene un número menor que el número o la fila de números anterior, en ese caso, esta fila contiene fechas para el próximo mes del calendario." sqref="C8" xr:uid="{00000000-0002-0000-0700-000005000000}"/>
    <dataValidation allowBlank="1" showInputMessage="1" showErrorMessage="1" prompt="Escriba la hora en esta fila, de la columna B a la I." sqref="B12" xr:uid="{00000000-0002-0000-0700-000006000000}"/>
    <dataValidation allowBlank="1" showInputMessage="1" showErrorMessage="1" prompt="Escriba la clase en esta fila, de la columna B a la I." sqref="B13" xr:uid="{00000000-0002-0000-0700-000007000000}"/>
    <dataValidation allowBlank="1" showInputMessage="1" showErrorMessage="1" prompt="Los días de la semana se agrupan en esta columna con 6 filas para las tareas para cada día laborable agrupado del mes. Inserte las nuevas filas para agregar más tareas. El calendario a la izquierda resaltará elementos." sqref="J1" xr:uid="{00000000-0002-0000-0700-000008000000}"/>
    <dataValidation allowBlank="1" showInputMessage="1" showErrorMessage="1" prompt="Escriba en esta columna los detalles de la tarea correspondientes al día de la semana de la columna J y al día de la columna K del mes del calendario de la izquierda." sqref="L1" xr:uid="{00000000-0002-0000-0700-000009000000}"/>
    <dataValidation allowBlank="1" showInputMessage="1" showErrorMessage="1" prompt="Escriba en esta columna el día de la tarea del mes que corresponda al día de la semana de la columna J. Esta fecha resaltará la tarea en el calendario de la izquierda." sqref="K1" xr:uid="{00000000-0002-0000-0700-00000A000000}"/>
    <dataValidation allowBlank="1" showInputMessage="1" showErrorMessage="1" prompt="Los días de la semana se encuentran en esta fila, del lunes al viernes." sqref="B11" xr:uid="{00000000-0002-0000-0700-00000B000000}"/>
    <dataValidation allowBlank="1" showInputMessage="1" showErrorMessage="1" prompt="Escriba la hora de la clase y debajo, en una nueva fila, el nombre de clase para cada día de la semana en las columnas B a I. Repita este patrón para todas las clases en las filas posteriores." sqref="B10" xr:uid="{00000000-0002-0000-0700-00000C000000}"/>
  </dataValidations>
  <printOptions horizontalCentered="1" verticalCentered="1"/>
  <pageMargins left="0.5" right="0.5" top="0.5" bottom="0.5" header="0.3" footer="0.3"/>
  <pageSetup paperSize="9" scale="58" orientation="landscape" r:id="rId1"/>
  <headerFooter differentFirst="1">
    <oddFooter>Page &amp;P of &amp;N</oddFooter>
  </headerFooter>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4"/>
    <pageSetUpPr fitToPage="1"/>
  </sheetPr>
  <dimension ref="A1:L31"/>
  <sheetViews>
    <sheetView showGridLines="0" zoomScaleNormal="100" zoomScalePageLayoutView="84" workbookViewId="0"/>
  </sheetViews>
  <sheetFormatPr baseColWidth="10" defaultColWidth="8.625" defaultRowHeight="30" customHeight="1" x14ac:dyDescent="0.2"/>
  <cols>
    <col min="1" max="1" width="2.625" style="1" customWidth="1"/>
    <col min="2" max="2" width="20.625" style="17" customWidth="1"/>
    <col min="3" max="8" width="10.625" style="1" customWidth="1"/>
    <col min="9" max="9" width="20.625" style="1" customWidth="1"/>
    <col min="10" max="10" width="10.625" style="17" customWidth="1"/>
    <col min="11" max="11" width="10.625" style="2" customWidth="1"/>
    <col min="12" max="12" width="70.625" style="1" customWidth="1"/>
    <col min="13" max="13" width="2.625" customWidth="1"/>
  </cols>
  <sheetData>
    <row r="1" spans="1:12" ht="30" customHeight="1" x14ac:dyDescent="0.2">
      <c r="A1" s="17"/>
      <c r="B1" s="12">
        <f ca="1">AñoCalendario</f>
        <v>2018</v>
      </c>
      <c r="J1" s="19" t="s">
        <v>0</v>
      </c>
      <c r="K1" s="19" t="s">
        <v>14</v>
      </c>
      <c r="L1" s="11" t="s">
        <v>15</v>
      </c>
    </row>
    <row r="2" spans="1:12" ht="30" customHeight="1" x14ac:dyDescent="0.25">
      <c r="A2" s="13"/>
      <c r="B2" s="23" t="s">
        <v>25</v>
      </c>
      <c r="C2" s="7" t="s">
        <v>29</v>
      </c>
      <c r="D2" s="7" t="s">
        <v>30</v>
      </c>
      <c r="E2" s="7" t="s">
        <v>31</v>
      </c>
      <c r="F2" s="7" t="s">
        <v>32</v>
      </c>
      <c r="G2" s="7" t="s">
        <v>33</v>
      </c>
      <c r="H2" s="7" t="s">
        <v>34</v>
      </c>
      <c r="I2" s="7" t="s">
        <v>35</v>
      </c>
      <c r="J2" s="10" t="s">
        <v>29</v>
      </c>
      <c r="K2" s="42"/>
      <c r="L2" s="49"/>
    </row>
    <row r="3" spans="1:12" ht="30" customHeight="1" x14ac:dyDescent="0.25">
      <c r="A3" s="13"/>
      <c r="C3" s="6">
        <f ca="1">IF(DAY(SepDom1)=1,SepDom1-6,SepDom1+1)</f>
        <v>43339</v>
      </c>
      <c r="D3" s="6">
        <f ca="1">IF(DAY(SepDom1)=1,SepDom1-5,SepDom1+2)</f>
        <v>43340</v>
      </c>
      <c r="E3" s="6">
        <f ca="1">IF(DAY(SepDom1)=1,SepDom1-4,SepDom1+3)</f>
        <v>43341</v>
      </c>
      <c r="F3" s="6">
        <f ca="1">IF(DAY(SepDom1)=1,SepDom1-3,SepDom1+4)</f>
        <v>43342</v>
      </c>
      <c r="G3" s="6">
        <f ca="1">IF(DAY(SepDom1)=1,SepDom1-2,SepDom1+5)</f>
        <v>43343</v>
      </c>
      <c r="H3" s="6">
        <f ca="1">IF(DAY(SepDom1)=1,SepDom1-1,SepDom1+6)</f>
        <v>43344</v>
      </c>
      <c r="I3" s="6">
        <f ca="1">IF(DAY(SepDom1)=1,SepDom1,SepDom1+7)</f>
        <v>43345</v>
      </c>
      <c r="J3" s="10"/>
      <c r="K3" s="36"/>
      <c r="L3" s="49"/>
    </row>
    <row r="4" spans="1:12" ht="30" customHeight="1" x14ac:dyDescent="0.25">
      <c r="A4" s="13"/>
      <c r="C4" s="6">
        <f ca="1">IF(DAY(SepDom1)=1,SepDom1+1,SepDom1+8)</f>
        <v>43346</v>
      </c>
      <c r="D4" s="6">
        <f ca="1">IF(DAY(SepDom1)=1,SepDom1+2,SepDom1+9)</f>
        <v>43347</v>
      </c>
      <c r="E4" s="6">
        <f ca="1">IF(DAY(SepDom1)=1,SepDom1+3,SepDom1+10)</f>
        <v>43348</v>
      </c>
      <c r="F4" s="6">
        <f ca="1">IF(DAY(SepDom1)=1,SepDom1+4,SepDom1+11)</f>
        <v>43349</v>
      </c>
      <c r="G4" s="6">
        <f ca="1">IF(DAY(SepDom1)=1,SepDom1+5,SepDom1+12)</f>
        <v>43350</v>
      </c>
      <c r="H4" s="6">
        <f ca="1">IF(DAY(SepDom1)=1,SepDom1+6,SepDom1+13)</f>
        <v>43351</v>
      </c>
      <c r="I4" s="6">
        <f ca="1">IF(DAY(SepDom1)=1,SepDom1+7,SepDom1+14)</f>
        <v>43352</v>
      </c>
      <c r="J4" s="10"/>
      <c r="K4" s="36"/>
      <c r="L4" s="49"/>
    </row>
    <row r="5" spans="1:12" ht="30" customHeight="1" x14ac:dyDescent="0.25">
      <c r="A5" s="13"/>
      <c r="C5" s="6">
        <f ca="1">IF(DAY(SepDom1)=1,SepDom1+8,SepDom1+15)</f>
        <v>43353</v>
      </c>
      <c r="D5" s="6">
        <f ca="1">IF(DAY(SepDom1)=1,SepDom1+9,SepDom1+16)</f>
        <v>43354</v>
      </c>
      <c r="E5" s="6">
        <f ca="1">IF(DAY(SepDom1)=1,SepDom1+10,SepDom1+17)</f>
        <v>43355</v>
      </c>
      <c r="F5" s="6">
        <f ca="1">IF(DAY(SepDom1)=1,SepDom1+11,SepDom1+18)</f>
        <v>43356</v>
      </c>
      <c r="G5" s="6">
        <f ca="1">IF(DAY(SepDom1)=1,SepDom1+12,SepDom1+19)</f>
        <v>43357</v>
      </c>
      <c r="H5" s="6">
        <f ca="1">IF(DAY(SepDom1)=1,SepDom1+13,SepDom1+20)</f>
        <v>43358</v>
      </c>
      <c r="I5" s="6">
        <f ca="1">IF(DAY(SepDom1)=1,SepDom1+14,SepDom1+21)</f>
        <v>43359</v>
      </c>
      <c r="J5" s="10"/>
      <c r="K5" s="36"/>
      <c r="L5" s="49"/>
    </row>
    <row r="6" spans="1:12" ht="30" customHeight="1" x14ac:dyDescent="0.25">
      <c r="A6" s="13"/>
      <c r="C6" s="6">
        <f ca="1">IF(DAY(SepDom1)=1,SepDom1+15,SepDom1+22)</f>
        <v>43360</v>
      </c>
      <c r="D6" s="6">
        <f ca="1">IF(DAY(SepDom1)=1,SepDom1+16,SepDom1+23)</f>
        <v>43361</v>
      </c>
      <c r="E6" s="6">
        <f ca="1">IF(DAY(SepDom1)=1,SepDom1+17,SepDom1+24)</f>
        <v>43362</v>
      </c>
      <c r="F6" s="6">
        <f ca="1">IF(DAY(SepDom1)=1,SepDom1+18,SepDom1+25)</f>
        <v>43363</v>
      </c>
      <c r="G6" s="6">
        <f ca="1">IF(DAY(SepDom1)=1,SepDom1+19,SepDom1+26)</f>
        <v>43364</v>
      </c>
      <c r="H6" s="6">
        <f ca="1">IF(DAY(SepDom1)=1,SepDom1+20,SepDom1+27)</f>
        <v>43365</v>
      </c>
      <c r="I6" s="6">
        <f ca="1">IF(DAY(SepDom1)=1,SepDom1+21,SepDom1+28)</f>
        <v>43366</v>
      </c>
      <c r="J6" s="10"/>
      <c r="K6" s="36"/>
      <c r="L6" s="49"/>
    </row>
    <row r="7" spans="1:12" ht="30" customHeight="1" x14ac:dyDescent="0.25">
      <c r="A7" s="13"/>
      <c r="C7" s="6">
        <f ca="1">IF(DAY(SepDom1)=1,SepDom1+22,SepDom1+29)</f>
        <v>43367</v>
      </c>
      <c r="D7" s="6">
        <f ca="1">IF(DAY(SepDom1)=1,SepDom1+23,SepDom1+30)</f>
        <v>43368</v>
      </c>
      <c r="E7" s="6">
        <f ca="1">IF(DAY(SepDom1)=1,SepDom1+24,SepDom1+31)</f>
        <v>43369</v>
      </c>
      <c r="F7" s="6">
        <f ca="1">IF(DAY(SepDom1)=1,SepDom1+25,SepDom1+32)</f>
        <v>43370</v>
      </c>
      <c r="G7" s="6">
        <f ca="1">IF(DAY(SepDom1)=1,SepDom1+26,SepDom1+33)</f>
        <v>43371</v>
      </c>
      <c r="H7" s="6">
        <f ca="1">IF(DAY(SepDom1)=1,SepDom1+27,SepDom1+34)</f>
        <v>43372</v>
      </c>
      <c r="I7" s="6">
        <f ca="1">IF(DAY(SepDom1)=1,SepDom1+28,SepDom1+35)</f>
        <v>43373</v>
      </c>
      <c r="J7" s="20"/>
      <c r="K7" s="35"/>
      <c r="L7" s="18"/>
    </row>
    <row r="8" spans="1:12" ht="30" customHeight="1" x14ac:dyDescent="0.25">
      <c r="A8" s="13"/>
      <c r="B8" s="18"/>
      <c r="C8" s="6">
        <f ca="1">IF(DAY(SepDom1)=1,SepDom1+29,SepDom1+36)</f>
        <v>43374</v>
      </c>
      <c r="D8" s="6">
        <f ca="1">IF(DAY(SepDom1)=1,SepDom1+30,SepDom1+37)</f>
        <v>43375</v>
      </c>
      <c r="E8" s="6">
        <f ca="1">IF(DAY(SepDom1)=1,SepDom1+31,SepDom1+38)</f>
        <v>43376</v>
      </c>
      <c r="F8" s="6">
        <f ca="1">IF(DAY(SepDom1)=1,SepDom1+32,SepDom1+39)</f>
        <v>43377</v>
      </c>
      <c r="G8" s="6">
        <f ca="1">IF(DAY(SepDom1)=1,SepDom1+33,SepDom1+40)</f>
        <v>43378</v>
      </c>
      <c r="H8" s="6">
        <f ca="1">IF(DAY(SepDom1)=1,SepDom1+34,SepDom1+41)</f>
        <v>43379</v>
      </c>
      <c r="I8" s="6">
        <f ca="1">IF(DAY(SepDom1)=1,SepDom1+35,SepDom1+42)</f>
        <v>43380</v>
      </c>
      <c r="J8" s="10" t="s">
        <v>30</v>
      </c>
      <c r="K8" s="37"/>
      <c r="L8" s="49"/>
    </row>
    <row r="9" spans="1:12" ht="30" customHeight="1" x14ac:dyDescent="0.25">
      <c r="A9" s="13"/>
      <c r="C9" s="4"/>
      <c r="D9" s="4"/>
      <c r="E9" s="4"/>
      <c r="F9" s="4"/>
      <c r="G9" s="4"/>
      <c r="H9" s="4"/>
      <c r="I9" s="4"/>
      <c r="J9" s="10"/>
      <c r="K9" s="36"/>
      <c r="L9" s="49"/>
    </row>
    <row r="10" spans="1:12" ht="30" customHeight="1" x14ac:dyDescent="0.25">
      <c r="A10" s="13"/>
      <c r="B10" s="16" t="s">
        <v>4</v>
      </c>
      <c r="C10" s="9"/>
      <c r="D10" s="9"/>
      <c r="E10" s="9"/>
      <c r="F10" s="9"/>
      <c r="G10" s="9"/>
      <c r="H10" s="9"/>
      <c r="I10" s="9"/>
      <c r="J10" s="10"/>
      <c r="K10" s="36"/>
      <c r="L10" s="49"/>
    </row>
    <row r="11" spans="1:12" ht="30" customHeight="1" x14ac:dyDescent="0.25">
      <c r="A11" s="26" t="s">
        <v>0</v>
      </c>
      <c r="B11" s="25" t="s">
        <v>29</v>
      </c>
      <c r="C11" s="67" t="s">
        <v>30</v>
      </c>
      <c r="D11" s="68"/>
      <c r="E11" s="67" t="s">
        <v>31</v>
      </c>
      <c r="F11" s="68"/>
      <c r="G11" s="67" t="s">
        <v>32</v>
      </c>
      <c r="H11" s="68"/>
      <c r="I11" s="3" t="s">
        <v>33</v>
      </c>
      <c r="J11" s="10"/>
      <c r="K11" s="36"/>
      <c r="L11" s="49"/>
    </row>
    <row r="12" spans="1:12" ht="30" customHeight="1" x14ac:dyDescent="0.25">
      <c r="A12" s="26" t="s">
        <v>1</v>
      </c>
      <c r="B12" s="21">
        <v>0.33333333333333331</v>
      </c>
      <c r="C12" s="76"/>
      <c r="D12" s="76"/>
      <c r="E12" s="76">
        <v>0.33333333333333331</v>
      </c>
      <c r="F12" s="76"/>
      <c r="G12" s="76"/>
      <c r="H12" s="76"/>
      <c r="I12" s="22">
        <v>0.33333333333333331</v>
      </c>
      <c r="J12" s="10"/>
      <c r="K12" s="36"/>
      <c r="L12" s="49"/>
    </row>
    <row r="13" spans="1:12" ht="30" customHeight="1" x14ac:dyDescent="0.25">
      <c r="A13" s="26" t="s">
        <v>2</v>
      </c>
      <c r="B13" s="27" t="s">
        <v>5</v>
      </c>
      <c r="C13" s="70"/>
      <c r="D13" s="70"/>
      <c r="E13" s="70" t="s">
        <v>5</v>
      </c>
      <c r="F13" s="70"/>
      <c r="G13" s="70"/>
      <c r="H13" s="70"/>
      <c r="I13" s="30" t="s">
        <v>5</v>
      </c>
      <c r="J13" s="20"/>
      <c r="K13" s="35"/>
      <c r="L13" s="18"/>
    </row>
    <row r="14" spans="1:12" ht="30" customHeight="1" x14ac:dyDescent="0.25">
      <c r="A14" s="26" t="s">
        <v>1</v>
      </c>
      <c r="B14" s="21"/>
      <c r="C14" s="76">
        <v>0.375</v>
      </c>
      <c r="D14" s="76"/>
      <c r="E14" s="76"/>
      <c r="F14" s="76"/>
      <c r="G14" s="76">
        <v>0.375</v>
      </c>
      <c r="H14" s="76"/>
      <c r="I14" s="22"/>
      <c r="J14" s="10" t="s">
        <v>31</v>
      </c>
      <c r="K14" s="37"/>
      <c r="L14" s="49"/>
    </row>
    <row r="15" spans="1:12" ht="30" customHeight="1" x14ac:dyDescent="0.25">
      <c r="A15" s="26" t="s">
        <v>2</v>
      </c>
      <c r="B15" s="27"/>
      <c r="C15" s="70" t="s">
        <v>11</v>
      </c>
      <c r="D15" s="70"/>
      <c r="E15" s="70"/>
      <c r="F15" s="70"/>
      <c r="G15" s="70" t="s">
        <v>11</v>
      </c>
      <c r="H15" s="70"/>
      <c r="I15" s="30"/>
      <c r="J15" s="10"/>
      <c r="K15" s="36"/>
      <c r="L15" s="49"/>
    </row>
    <row r="16" spans="1:12" ht="30" customHeight="1" x14ac:dyDescent="0.25">
      <c r="A16" s="26" t="s">
        <v>1</v>
      </c>
      <c r="B16" s="21" t="s">
        <v>6</v>
      </c>
      <c r="C16" s="76"/>
      <c r="D16" s="76"/>
      <c r="E16" s="76" t="s">
        <v>6</v>
      </c>
      <c r="F16" s="76"/>
      <c r="G16" s="76"/>
      <c r="H16" s="76"/>
      <c r="I16" s="24" t="s">
        <v>6</v>
      </c>
      <c r="J16" s="10"/>
      <c r="K16" s="36"/>
      <c r="L16" s="49"/>
    </row>
    <row r="17" spans="1:12" ht="30" customHeight="1" x14ac:dyDescent="0.25">
      <c r="A17" s="26" t="s">
        <v>2</v>
      </c>
      <c r="B17" s="27" t="s">
        <v>7</v>
      </c>
      <c r="C17" s="70"/>
      <c r="D17" s="70"/>
      <c r="E17" s="70" t="s">
        <v>7</v>
      </c>
      <c r="F17" s="70"/>
      <c r="G17" s="70"/>
      <c r="H17" s="70"/>
      <c r="I17" s="30" t="s">
        <v>7</v>
      </c>
      <c r="J17" s="10"/>
      <c r="K17" s="36"/>
      <c r="L17" s="49"/>
    </row>
    <row r="18" spans="1:12" ht="30" customHeight="1" x14ac:dyDescent="0.25">
      <c r="A18" s="26" t="s">
        <v>1</v>
      </c>
      <c r="B18" s="21"/>
      <c r="C18" s="76"/>
      <c r="D18" s="76"/>
      <c r="E18" s="76"/>
      <c r="F18" s="76"/>
      <c r="G18" s="76"/>
      <c r="H18" s="76"/>
      <c r="I18" s="22"/>
      <c r="J18" s="10"/>
      <c r="K18" s="36"/>
      <c r="L18" s="49"/>
    </row>
    <row r="19" spans="1:12" ht="30" customHeight="1" x14ac:dyDescent="0.25">
      <c r="A19" s="26" t="s">
        <v>2</v>
      </c>
      <c r="B19" s="27"/>
      <c r="C19" s="70"/>
      <c r="D19" s="70"/>
      <c r="E19" s="70"/>
      <c r="F19" s="70"/>
      <c r="G19" s="70"/>
      <c r="H19" s="70"/>
      <c r="I19" s="47"/>
      <c r="J19" s="20"/>
      <c r="K19" s="35"/>
      <c r="L19" s="50"/>
    </row>
    <row r="20" spans="1:12" ht="30" customHeight="1" x14ac:dyDescent="0.25">
      <c r="A20" s="26" t="s">
        <v>1</v>
      </c>
      <c r="B20" s="21"/>
      <c r="C20" s="76"/>
      <c r="D20" s="76"/>
      <c r="E20" s="76"/>
      <c r="F20" s="76"/>
      <c r="G20" s="76"/>
      <c r="H20" s="76"/>
      <c r="I20" s="22"/>
      <c r="J20" s="10" t="s">
        <v>32</v>
      </c>
      <c r="K20" s="37"/>
      <c r="L20" s="49"/>
    </row>
    <row r="21" spans="1:12" ht="30" customHeight="1" x14ac:dyDescent="0.25">
      <c r="A21" s="26" t="s">
        <v>2</v>
      </c>
      <c r="B21" s="27"/>
      <c r="C21" s="70"/>
      <c r="D21" s="70"/>
      <c r="E21" s="70"/>
      <c r="F21" s="70"/>
      <c r="G21" s="70"/>
      <c r="H21" s="70"/>
      <c r="I21" s="30"/>
      <c r="J21" s="10"/>
      <c r="K21" s="36"/>
      <c r="L21" s="49"/>
    </row>
    <row r="22" spans="1:12" ht="30" customHeight="1" x14ac:dyDescent="0.25">
      <c r="A22" s="26" t="s">
        <v>1</v>
      </c>
      <c r="B22" s="21"/>
      <c r="C22" s="76"/>
      <c r="D22" s="76"/>
      <c r="E22" s="76"/>
      <c r="F22" s="76"/>
      <c r="G22" s="76"/>
      <c r="H22" s="76"/>
      <c r="I22" s="22"/>
      <c r="J22" s="10"/>
      <c r="K22" s="36"/>
      <c r="L22" s="49"/>
    </row>
    <row r="23" spans="1:12" ht="30" customHeight="1" x14ac:dyDescent="0.25">
      <c r="A23" s="26" t="s">
        <v>2</v>
      </c>
      <c r="B23" s="27"/>
      <c r="C23" s="70"/>
      <c r="D23" s="70"/>
      <c r="E23" s="70"/>
      <c r="F23" s="70"/>
      <c r="G23" s="70"/>
      <c r="H23" s="70"/>
      <c r="I23" s="30"/>
      <c r="J23" s="10"/>
      <c r="K23" s="36"/>
      <c r="L23" s="49"/>
    </row>
    <row r="24" spans="1:12" ht="30" customHeight="1" x14ac:dyDescent="0.25">
      <c r="A24" s="26" t="s">
        <v>1</v>
      </c>
      <c r="B24" s="21" t="s">
        <v>8</v>
      </c>
      <c r="C24" s="76"/>
      <c r="D24" s="76"/>
      <c r="E24" s="76" t="s">
        <v>8</v>
      </c>
      <c r="F24" s="76"/>
      <c r="G24" s="76"/>
      <c r="H24" s="76"/>
      <c r="I24" s="22" t="s">
        <v>8</v>
      </c>
      <c r="J24" s="10"/>
      <c r="K24" s="36"/>
      <c r="L24" s="49"/>
    </row>
    <row r="25" spans="1:12" ht="30" customHeight="1" x14ac:dyDescent="0.25">
      <c r="A25" s="26" t="s">
        <v>2</v>
      </c>
      <c r="B25" s="27" t="s">
        <v>9</v>
      </c>
      <c r="C25" s="70"/>
      <c r="D25" s="70"/>
      <c r="E25" s="70" t="s">
        <v>9</v>
      </c>
      <c r="F25" s="70"/>
      <c r="G25" s="70"/>
      <c r="H25" s="70"/>
      <c r="I25" s="30" t="s">
        <v>9</v>
      </c>
      <c r="J25" s="20"/>
      <c r="K25" s="35"/>
      <c r="L25" s="50"/>
    </row>
    <row r="26" spans="1:12" ht="30" customHeight="1" x14ac:dyDescent="0.25">
      <c r="A26" s="26" t="s">
        <v>1</v>
      </c>
      <c r="B26" s="21"/>
      <c r="C26" s="76"/>
      <c r="D26" s="76"/>
      <c r="E26" s="76"/>
      <c r="F26" s="76"/>
      <c r="G26" s="76"/>
      <c r="H26" s="76"/>
      <c r="I26" s="22"/>
      <c r="J26" s="10" t="s">
        <v>33</v>
      </c>
      <c r="K26" s="37"/>
      <c r="L26" s="49"/>
    </row>
    <row r="27" spans="1:12" ht="30" customHeight="1" x14ac:dyDescent="0.25">
      <c r="A27" s="26" t="s">
        <v>2</v>
      </c>
      <c r="B27" s="27"/>
      <c r="C27" s="70"/>
      <c r="D27" s="70"/>
      <c r="E27" s="70"/>
      <c r="F27" s="70"/>
      <c r="G27" s="70"/>
      <c r="H27" s="70"/>
      <c r="I27" s="30"/>
      <c r="J27" s="10"/>
      <c r="K27" s="36"/>
      <c r="L27" s="49"/>
    </row>
    <row r="28" spans="1:12" ht="30" customHeight="1" x14ac:dyDescent="0.25">
      <c r="A28" s="26" t="s">
        <v>1</v>
      </c>
      <c r="B28" s="21"/>
      <c r="C28" s="76" t="s">
        <v>12</v>
      </c>
      <c r="D28" s="76"/>
      <c r="E28" s="76"/>
      <c r="F28" s="76"/>
      <c r="G28" s="76" t="s">
        <v>12</v>
      </c>
      <c r="H28" s="76"/>
      <c r="I28" s="22"/>
      <c r="J28" s="10"/>
      <c r="K28" s="36"/>
      <c r="L28" s="49"/>
    </row>
    <row r="29" spans="1:12" ht="30" customHeight="1" x14ac:dyDescent="0.25">
      <c r="A29" s="26" t="s">
        <v>2</v>
      </c>
      <c r="B29" s="27"/>
      <c r="C29" s="70" t="s">
        <v>13</v>
      </c>
      <c r="D29" s="70"/>
      <c r="E29" s="70"/>
      <c r="F29" s="70"/>
      <c r="G29" s="70" t="s">
        <v>13</v>
      </c>
      <c r="H29" s="70"/>
      <c r="I29" s="30"/>
      <c r="J29" s="10"/>
      <c r="K29" s="36"/>
      <c r="L29" s="49"/>
    </row>
    <row r="30" spans="1:12" ht="30" customHeight="1" x14ac:dyDescent="0.25">
      <c r="A30" s="26" t="s">
        <v>1</v>
      </c>
      <c r="B30" s="21"/>
      <c r="C30" s="76"/>
      <c r="D30" s="76"/>
      <c r="E30" s="76"/>
      <c r="F30" s="76"/>
      <c r="G30" s="76"/>
      <c r="H30" s="76"/>
      <c r="I30" s="22"/>
      <c r="J30" s="10"/>
      <c r="K30" s="36"/>
      <c r="L30" s="49"/>
    </row>
    <row r="31" spans="1:12" ht="30" customHeight="1" x14ac:dyDescent="0.25">
      <c r="A31" s="26" t="s">
        <v>2</v>
      </c>
      <c r="B31" s="28"/>
      <c r="C31" s="72"/>
      <c r="D31" s="72"/>
      <c r="E31" s="72"/>
      <c r="F31" s="72"/>
      <c r="G31" s="72"/>
      <c r="H31" s="72"/>
      <c r="I31" s="40"/>
      <c r="J31" s="10"/>
      <c r="K31" s="42"/>
      <c r="L31" s="51"/>
    </row>
  </sheetData>
  <mergeCells count="63">
    <mergeCell ref="C31:D31"/>
    <mergeCell ref="E31:F31"/>
    <mergeCell ref="G31:H31"/>
    <mergeCell ref="C29:D29"/>
    <mergeCell ref="E29:F29"/>
    <mergeCell ref="G29:H29"/>
    <mergeCell ref="C30:D30"/>
    <mergeCell ref="E30:F30"/>
    <mergeCell ref="G30:H30"/>
    <mergeCell ref="C27:D27"/>
    <mergeCell ref="E27:F27"/>
    <mergeCell ref="G27:H27"/>
    <mergeCell ref="C28:D28"/>
    <mergeCell ref="E28:F28"/>
    <mergeCell ref="G28:H28"/>
    <mergeCell ref="C25:D25"/>
    <mergeCell ref="E25:F25"/>
    <mergeCell ref="G25:H25"/>
    <mergeCell ref="C26:D26"/>
    <mergeCell ref="E26:F26"/>
    <mergeCell ref="G26:H26"/>
    <mergeCell ref="C23:D23"/>
    <mergeCell ref="E23:F23"/>
    <mergeCell ref="G23:H23"/>
    <mergeCell ref="C24:D24"/>
    <mergeCell ref="E24:F24"/>
    <mergeCell ref="G24:H24"/>
    <mergeCell ref="C21:D21"/>
    <mergeCell ref="E21:F21"/>
    <mergeCell ref="G21:H21"/>
    <mergeCell ref="C22:D22"/>
    <mergeCell ref="E22:F22"/>
    <mergeCell ref="G22:H22"/>
    <mergeCell ref="C19:D19"/>
    <mergeCell ref="E19:F19"/>
    <mergeCell ref="G19:H19"/>
    <mergeCell ref="C20:D20"/>
    <mergeCell ref="E20:F20"/>
    <mergeCell ref="G20:H20"/>
    <mergeCell ref="C17:D17"/>
    <mergeCell ref="E17:F17"/>
    <mergeCell ref="G17:H17"/>
    <mergeCell ref="C18:D18"/>
    <mergeCell ref="E18:F18"/>
    <mergeCell ref="G18:H18"/>
    <mergeCell ref="C15:D15"/>
    <mergeCell ref="E15:F15"/>
    <mergeCell ref="G15:H15"/>
    <mergeCell ref="C16:D16"/>
    <mergeCell ref="E16:F16"/>
    <mergeCell ref="G16:H16"/>
    <mergeCell ref="C13:D13"/>
    <mergeCell ref="E13:F13"/>
    <mergeCell ref="G13:H13"/>
    <mergeCell ref="C14:D14"/>
    <mergeCell ref="E14:F14"/>
    <mergeCell ref="G14:H14"/>
    <mergeCell ref="C11:D11"/>
    <mergeCell ref="E11:F11"/>
    <mergeCell ref="G11:H11"/>
    <mergeCell ref="C12:D12"/>
    <mergeCell ref="E12:F12"/>
    <mergeCell ref="G12:H12"/>
  </mergeCells>
  <conditionalFormatting sqref="C3:H3">
    <cfRule type="expression" dxfId="29" priority="6" stopIfTrue="1">
      <formula>DAY(C3)&gt;8</formula>
    </cfRule>
  </conditionalFormatting>
  <conditionalFormatting sqref="C7:I8">
    <cfRule type="expression" dxfId="28" priority="5" stopIfTrue="1">
      <formula>AND(DAY(C7)&gt;=1,DAY(C7)&lt;=15)</formula>
    </cfRule>
  </conditionalFormatting>
  <conditionalFormatting sqref="C3:I8">
    <cfRule type="expression" dxfId="27" priority="7">
      <formula>VLOOKUP(DAY(C3),AssignmentDays,1,FALSE)=DAY(C3)</formula>
    </cfRule>
  </conditionalFormatting>
  <conditionalFormatting sqref="B13:I13 B15:I15 B17:I17 B19:I19 B21:I21 B23:I23 B25:I25 B27:I27 B29:I29 B31:I31">
    <cfRule type="expression" dxfId="26" priority="4">
      <formula>B13&lt;&gt;""</formula>
    </cfRule>
  </conditionalFormatting>
  <conditionalFormatting sqref="B12:I12 B14:I14 B16:I16 B18:I18 B20:I20 B22:I22 B24:I24 B26:I26 B28:I28 B30:I30">
    <cfRule type="expression" dxfId="25" priority="3">
      <formula>B12&lt;&gt;""</formula>
    </cfRule>
  </conditionalFormatting>
  <conditionalFormatting sqref="B13:I13 B15:I15 B17:I17 B19:I19 B21:I21 B23:I23 B25:I25 B27:I27 B29:I29">
    <cfRule type="expression" dxfId="24" priority="2">
      <formula>COLUMN(B13)&gt;=2</formula>
    </cfRule>
  </conditionalFormatting>
  <conditionalFormatting sqref="B12:I31">
    <cfRule type="expression" dxfId="23" priority="1">
      <formula>COLUMN(B12)&gt;2</formula>
    </cfRule>
  </conditionalFormatting>
  <dataValidations count="13">
    <dataValidation allowBlank="1" showInputMessage="1" showErrorMessage="1" prompt="Escriba la clase en esta fila, de la columna B a la I." sqref="B13" xr:uid="{00000000-0002-0000-0800-000000000000}"/>
    <dataValidation allowBlank="1" showInputMessage="1" showErrorMessage="1" prompt="Escriba la hora en esta fila, de la columna B a la I." sqref="B12" xr:uid="{00000000-0002-0000-0800-000001000000}"/>
    <dataValidation allowBlank="1" showInputMessage="1" showErrorMessage="1" prompt="Si esta fila contiene un número menor que el número o la fila de números anterior, en ese caso, esta fila contiene fechas para el próximo mes del calendario." sqref="C8" xr:uid="{00000000-0002-0000-0800-000002000000}"/>
    <dataValidation allowBlank="1" showInputMessage="1" showErrorMessage="1" prompt="Si esta celda no contiene el número 1, se trata de un día del mes anterior. Las celdas C3 a I8 contienen fechas para el mes actual." sqref="C3" xr:uid="{00000000-0002-0000-0800-000003000000}"/>
    <dataValidation allowBlank="1" showInputMessage="1" showErrorMessage="1" prompt="Las celdas C2 a I2 contienen días de la semana." sqref="C2" xr:uid="{00000000-0002-0000-0800-000004000000}"/>
    <dataValidation allowBlank="1" showInputMessage="1" showErrorMessage="1" prompt="Prepare una programación semanal y cree una lista de tareas en esta hoja de cálculo. Las tareas se resaltan automáticamente en el calendario mensual del año especificado en B1 de la hoja de cálculo de Ene." sqref="A1" xr:uid="{00000000-0002-0000-0800-000005000000}"/>
    <dataValidation allowBlank="1" showInputMessage="1" showErrorMessage="1" prompt="El año se actualiza automáticamente. Para cambiar el año, actualice la celda B1 en la hoja de cálculo de Ene." sqref="B1" xr:uid="{00000000-0002-0000-0800-000006000000}"/>
    <dataValidation allowBlank="1" showInputMessage="1" showErrorMessage="1" prompt="El calendario de septiembre resalta automáticamente las entradas de la lista de tareas para el mes. Las fuentes más oscuras indican tareas. Las fuentes más claras indican días que pertenecen al mes anterior o siguiente." sqref="B2" xr:uid="{00000000-0002-0000-0800-000007000000}"/>
    <dataValidation allowBlank="1" showInputMessage="1" showErrorMessage="1" prompt="Los días de la semana se agrupan en esta columna con 6 filas para las tareas para cada día laborable agrupado del mes. Inserte las nuevas filas para agregar más tareas. El calendario a la izquierda resaltará elementos." sqref="J1" xr:uid="{00000000-0002-0000-0800-000008000000}"/>
    <dataValidation allowBlank="1" showInputMessage="1" showErrorMessage="1" prompt="Escriba en esta columna los detalles de la tarea correspondientes al día de la semana de la columna J y al día de la columna K del mes del calendario de la izquierda." sqref="L1" xr:uid="{00000000-0002-0000-0800-000009000000}"/>
    <dataValidation allowBlank="1" showInputMessage="1" showErrorMessage="1" prompt="Escriba en esta columna el día de la tarea del mes que corresponda al día de la semana de la columna J. Esta fecha resaltará la tarea en el calendario de la izquierda." sqref="K1" xr:uid="{00000000-0002-0000-0800-00000A000000}"/>
    <dataValidation allowBlank="1" showInputMessage="1" showErrorMessage="1" prompt="Los días de la semana se encuentran en esta fila, del lunes al viernes." sqref="B11" xr:uid="{00000000-0002-0000-0800-00000B000000}"/>
    <dataValidation allowBlank="1" showInputMessage="1" showErrorMessage="1" prompt="Escriba la hora de la clase y debajo, en una nueva fila, el nombre de clase para cada día de la semana en las columnas B a I. Repita este patrón para todas las clases en las filas posteriores." sqref="B10" xr:uid="{00000000-0002-0000-0800-00000C000000}"/>
  </dataValidations>
  <printOptions horizontalCentered="1" verticalCentered="1"/>
  <pageMargins left="0.5" right="0.5" top="0.5" bottom="0.5" header="0.3" footer="0.3"/>
  <pageSetup paperSize="9" scale="58" orientation="landscape" r:id="rId1"/>
  <headerFooter differentFirst="1">
    <oddFooter>Page &amp;P of &amp;N</oddFooter>
  </headerFooter>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12</vt:i4>
      </vt:variant>
      <vt:variant>
        <vt:lpstr>Rangos con nombre</vt:lpstr>
      </vt:variant>
      <vt:variant>
        <vt:i4>61</vt:i4>
      </vt:variant>
    </vt:vector>
  </HeadingPairs>
  <TitlesOfParts>
    <vt:vector size="73" baseType="lpstr">
      <vt:lpstr>Ene</vt:lpstr>
      <vt:lpstr>Feb</vt:lpstr>
      <vt:lpstr>Mar</vt:lpstr>
      <vt:lpstr>Abr</vt:lpstr>
      <vt:lpstr>May</vt:lpstr>
      <vt:lpstr>Jun</vt:lpstr>
      <vt:lpstr>Jul</vt:lpstr>
      <vt:lpstr>Ago</vt:lpstr>
      <vt:lpstr>Sep</vt:lpstr>
      <vt:lpstr>Oct</vt:lpstr>
      <vt:lpstr>Nov</vt:lpstr>
      <vt:lpstr>Dic</vt:lpstr>
      <vt:lpstr>AñoCalendario</vt:lpstr>
      <vt:lpstr>Abr!AssignmentDays</vt:lpstr>
      <vt:lpstr>Ago!AssignmentDays</vt:lpstr>
      <vt:lpstr>Dic!AssignmentDays</vt:lpstr>
      <vt:lpstr>Feb!AssignmentDays</vt:lpstr>
      <vt:lpstr>Jul!AssignmentDays</vt:lpstr>
      <vt:lpstr>Jun!AssignmentDays</vt:lpstr>
      <vt:lpstr>Mar!AssignmentDays</vt:lpstr>
      <vt:lpstr>May!AssignmentDays</vt:lpstr>
      <vt:lpstr>Nov!AssignmentDays</vt:lpstr>
      <vt:lpstr>Oct!AssignmentDays</vt:lpstr>
      <vt:lpstr>Sep!AssignmentDays</vt:lpstr>
      <vt:lpstr>AssignmentDays</vt:lpstr>
      <vt:lpstr>ColumnTitleRegion1..I8.1</vt:lpstr>
      <vt:lpstr>ColumnTitleRegion1..I8.10</vt:lpstr>
      <vt:lpstr>ColumnTitleRegion1..I8.11</vt:lpstr>
      <vt:lpstr>ColumnTitleRegion1..I8.12</vt:lpstr>
      <vt:lpstr>ColumnTitleRegion1..I8.2</vt:lpstr>
      <vt:lpstr>ColumnTitleRegion1..I8.3</vt:lpstr>
      <vt:lpstr>ColumnTitleRegion1..I8.4</vt:lpstr>
      <vt:lpstr>ColumnTitleRegion1..I8.5</vt:lpstr>
      <vt:lpstr>ColumnTitleRegion1..I8.6</vt:lpstr>
      <vt:lpstr>ColumnTitleRegion1..I8.7</vt:lpstr>
      <vt:lpstr>ColumnTitleRegion1..I8.8</vt:lpstr>
      <vt:lpstr>ColumnTitleRegion1..I8.9</vt:lpstr>
      <vt:lpstr>Abr!ImportantDatesTable</vt:lpstr>
      <vt:lpstr>Ago!ImportantDatesTable</vt:lpstr>
      <vt:lpstr>Dic!ImportantDatesTable</vt:lpstr>
      <vt:lpstr>Feb!ImportantDatesTable</vt:lpstr>
      <vt:lpstr>Jul!ImportantDatesTable</vt:lpstr>
      <vt:lpstr>Jun!ImportantDatesTable</vt:lpstr>
      <vt:lpstr>Mar!ImportantDatesTable</vt:lpstr>
      <vt:lpstr>May!ImportantDatesTable</vt:lpstr>
      <vt:lpstr>Nov!ImportantDatesTable</vt:lpstr>
      <vt:lpstr>Oct!ImportantDatesTable</vt:lpstr>
      <vt:lpstr>Sep!ImportantDatesTable</vt:lpstr>
      <vt:lpstr>ImportantDatesTable</vt:lpstr>
      <vt:lpstr>TitleRegion2..I31.1</vt:lpstr>
      <vt:lpstr>TitleRegion2..I31.10</vt:lpstr>
      <vt:lpstr>TitleRegion2..I31.11</vt:lpstr>
      <vt:lpstr>TitleRegion2..I31.12</vt:lpstr>
      <vt:lpstr>TitleRegion2..I31.2</vt:lpstr>
      <vt:lpstr>TitleRegion2..I31.3</vt:lpstr>
      <vt:lpstr>TitleRegion2..I31.4</vt:lpstr>
      <vt:lpstr>TitleRegion2..I31.5</vt:lpstr>
      <vt:lpstr>TitleRegion2..I31.6</vt:lpstr>
      <vt:lpstr>TitleRegion2..I31.7</vt:lpstr>
      <vt:lpstr>TitleRegion2..I31.8</vt:lpstr>
      <vt:lpstr>TitleRegion2..I31.9</vt:lpstr>
      <vt:lpstr>TítuloDeColumna1</vt:lpstr>
      <vt:lpstr>TítuloDeColumna10</vt:lpstr>
      <vt:lpstr>TítuloDeColumna11</vt:lpstr>
      <vt:lpstr>TítuloDeColumna12</vt:lpstr>
      <vt:lpstr>TítuloDeColumna2</vt:lpstr>
      <vt:lpstr>TítuloDeColumna3</vt:lpstr>
      <vt:lpstr>TítuloDeColumna4</vt:lpstr>
      <vt:lpstr>TítuloDeColumna5</vt:lpstr>
      <vt:lpstr>TítuloDeColumna6</vt:lpstr>
      <vt:lpstr>TítuloDeColumna7</vt:lpstr>
      <vt:lpstr>TítuloDeColumna8</vt:lpstr>
      <vt:lpstr>TítuloDeColumna9</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gimena videla</dc:creator>
  <cp:lastModifiedBy>gimena videla</cp:lastModifiedBy>
  <dcterms:created xsi:type="dcterms:W3CDTF">2016-12-22T23:12:27Z</dcterms:created>
  <dcterms:modified xsi:type="dcterms:W3CDTF">2018-05-30T23:47:54Z</dcterms:modified>
</cp:coreProperties>
</file>