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120" windowHeight="12320" tabRatio="500" activeTab="4"/>
  </bookViews>
  <sheets>
    <sheet name="General" sheetId="1" r:id="rId1"/>
    <sheet name="Asistencias" sheetId="2" r:id="rId2"/>
    <sheet name="Notas" sheetId="3" r:id="rId3"/>
    <sheet name="Subconjuntos" sheetId="6" r:id="rId4"/>
    <sheet name="Programación" sheetId="4" r:id="rId5"/>
    <sheet name="Horario" sheetId="7" r:id="rId6"/>
    <sheet name="Remote learning" sheetId="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AF20" i="3"/>
  <c r="Q18" i="6"/>
  <c r="Q17" i="6"/>
  <c r="Q16" i="6"/>
  <c r="Q7" i="6"/>
  <c r="Q6" i="6"/>
  <c r="Q5" i="6"/>
  <c r="Q8" i="6"/>
  <c r="Q11" i="6"/>
  <c r="Q12" i="6"/>
  <c r="Q19" i="6"/>
  <c r="Q22" i="6"/>
  <c r="Q23" i="6"/>
  <c r="Q25" i="6"/>
  <c r="AF29" i="3"/>
  <c r="AG29" i="3"/>
  <c r="AF19" i="3"/>
  <c r="AF28" i="3"/>
  <c r="AG28" i="3"/>
  <c r="AI24" i="3"/>
  <c r="AH24" i="3"/>
  <c r="AF22" i="3"/>
  <c r="AF21" i="3"/>
  <c r="AF24" i="3"/>
  <c r="AG8" i="3"/>
  <c r="AG9" i="3"/>
  <c r="AG10" i="3"/>
  <c r="AG11" i="3"/>
  <c r="AG12" i="3"/>
  <c r="AG13" i="3"/>
  <c r="AG14" i="3"/>
  <c r="AG15" i="3"/>
  <c r="AG16" i="3"/>
  <c r="J8" i="2"/>
  <c r="J10" i="2"/>
  <c r="I8" i="2"/>
  <c r="I10" i="2"/>
  <c r="B6" i="1"/>
  <c r="S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L17" i="4"/>
  <c r="J5" i="2"/>
  <c r="J3" i="2"/>
  <c r="J6" i="2"/>
  <c r="J4" i="2"/>
  <c r="I5" i="2"/>
  <c r="I3" i="2"/>
  <c r="I6" i="2"/>
  <c r="I4" i="2"/>
  <c r="J9" i="2"/>
  <c r="I9" i="2"/>
  <c r="Q9" i="2"/>
  <c r="Q4" i="2"/>
  <c r="Q5" i="2"/>
  <c r="Q6" i="2"/>
  <c r="Q7" i="2"/>
  <c r="Q8" i="2"/>
  <c r="Q10" i="2"/>
  <c r="Q3" i="2"/>
  <c r="C9" i="4"/>
  <c r="G9" i="4"/>
  <c r="F9" i="4"/>
  <c r="D9" i="4"/>
  <c r="E9" i="4"/>
  <c r="B9" i="4"/>
  <c r="H9" i="4"/>
  <c r="C11" i="4"/>
  <c r="C19" i="4"/>
  <c r="D11" i="4"/>
  <c r="D19" i="4"/>
  <c r="E11" i="4"/>
  <c r="E19" i="4"/>
  <c r="F11" i="4"/>
  <c r="F19" i="4"/>
  <c r="G11" i="4"/>
  <c r="G19" i="4"/>
  <c r="H19" i="4"/>
  <c r="I19" i="4"/>
  <c r="J19" i="4"/>
  <c r="B11" i="4"/>
  <c r="B19" i="4"/>
  <c r="L19" i="4"/>
  <c r="B15" i="4"/>
  <c r="C15" i="4"/>
  <c r="D15" i="4"/>
  <c r="E15" i="4"/>
  <c r="F15" i="4"/>
  <c r="G15" i="4"/>
  <c r="L15" i="4"/>
  <c r="I14" i="7"/>
  <c r="F14" i="7"/>
  <c r="D14" i="7"/>
  <c r="E14" i="7"/>
  <c r="B14" i="7"/>
  <c r="C14" i="7"/>
  <c r="K7" i="6"/>
  <c r="K8" i="6"/>
  <c r="K11" i="6"/>
  <c r="K12" i="6"/>
  <c r="K20" i="6"/>
  <c r="K19" i="6"/>
  <c r="K22" i="6"/>
  <c r="K23" i="6"/>
  <c r="K25" i="6"/>
  <c r="C7" i="4"/>
  <c r="G7" i="4"/>
  <c r="F7" i="4"/>
  <c r="E7" i="4"/>
  <c r="B7" i="4"/>
  <c r="N47" i="6"/>
  <c r="N42" i="6"/>
  <c r="N40" i="6"/>
  <c r="N38" i="6"/>
  <c r="N39" i="6"/>
  <c r="N41" i="6"/>
  <c r="N44" i="6"/>
  <c r="N45" i="6"/>
  <c r="N33" i="6"/>
  <c r="N34" i="6"/>
  <c r="N30" i="6"/>
  <c r="N29" i="6"/>
  <c r="N28" i="6"/>
  <c r="N27" i="6"/>
  <c r="N19" i="6"/>
  <c r="N18" i="6"/>
  <c r="N17" i="6"/>
  <c r="N16" i="6"/>
  <c r="N22" i="6"/>
  <c r="N23" i="6"/>
  <c r="N7" i="6"/>
  <c r="N8" i="6"/>
  <c r="N11" i="6"/>
  <c r="N12" i="6"/>
  <c r="N6" i="6"/>
  <c r="N5" i="6"/>
  <c r="K18" i="6"/>
  <c r="K17" i="6"/>
  <c r="K16" i="6"/>
  <c r="K6" i="6"/>
  <c r="K5" i="6"/>
  <c r="H25" i="6"/>
  <c r="H7" i="6"/>
  <c r="H5" i="6"/>
  <c r="H6" i="6"/>
  <c r="H8" i="6"/>
  <c r="H11" i="6"/>
  <c r="H12" i="6"/>
  <c r="E7" i="6"/>
  <c r="E8" i="6"/>
  <c r="E11" i="6"/>
  <c r="E12" i="6"/>
  <c r="E25" i="6"/>
  <c r="B25" i="6"/>
  <c r="E22" i="6"/>
  <c r="E23" i="6"/>
  <c r="E19" i="6"/>
  <c r="E18" i="6"/>
  <c r="E17" i="6"/>
  <c r="E16" i="6"/>
  <c r="E6" i="6"/>
  <c r="E5" i="6"/>
  <c r="B12" i="6"/>
  <c r="B11" i="6"/>
  <c r="B8" i="6"/>
  <c r="B7" i="6"/>
  <c r="B6" i="6"/>
  <c r="B5" i="6"/>
  <c r="AC23" i="3"/>
  <c r="AB23" i="3"/>
  <c r="Z23" i="3"/>
  <c r="AA11" i="3"/>
  <c r="AA10" i="3"/>
  <c r="AA9" i="3"/>
  <c r="AA8" i="3"/>
  <c r="AA7" i="3"/>
  <c r="AA6" i="3"/>
  <c r="AA5" i="3"/>
  <c r="AA15" i="3"/>
  <c r="AA14" i="3"/>
  <c r="AA13" i="3"/>
  <c r="AA12" i="3"/>
  <c r="AA20" i="3"/>
  <c r="AA19" i="3"/>
  <c r="AA18" i="3"/>
  <c r="AA17" i="3"/>
  <c r="AA16" i="3"/>
  <c r="Z29" i="3"/>
  <c r="Z28" i="3"/>
  <c r="Z27" i="3"/>
  <c r="AA29" i="3"/>
  <c r="AA28" i="3"/>
  <c r="AA27" i="3"/>
  <c r="E16" i="3"/>
  <c r="D16" i="3"/>
  <c r="B16" i="3"/>
  <c r="C7" i="3"/>
  <c r="C6" i="3"/>
  <c r="C5" i="3"/>
  <c r="C13" i="3"/>
  <c r="C12" i="3"/>
  <c r="C11" i="3"/>
  <c r="C10" i="3"/>
  <c r="C9" i="3"/>
  <c r="I16" i="3"/>
  <c r="H15" i="3"/>
  <c r="I15" i="3"/>
  <c r="T28" i="3"/>
  <c r="U28" i="3"/>
  <c r="H16" i="3"/>
  <c r="T29" i="3"/>
  <c r="U29" i="3"/>
  <c r="N18" i="3"/>
  <c r="N19" i="3"/>
  <c r="O11" i="3"/>
  <c r="O12" i="3"/>
  <c r="O13" i="3"/>
  <c r="O14" i="3"/>
  <c r="O15" i="3"/>
  <c r="O16" i="3"/>
  <c r="O17" i="3"/>
  <c r="Q21" i="3"/>
  <c r="P21" i="3"/>
  <c r="N7" i="3"/>
  <c r="N21" i="3"/>
  <c r="W24" i="3"/>
  <c r="V24" i="3"/>
  <c r="T22" i="3"/>
  <c r="T24" i="3"/>
  <c r="K9" i="2"/>
  <c r="L9" i="2"/>
  <c r="M9" i="2"/>
  <c r="K3" i="2"/>
  <c r="K8" i="2"/>
  <c r="I7" i="2"/>
  <c r="J7" i="2"/>
  <c r="K7" i="2"/>
  <c r="K6" i="2"/>
  <c r="G5" i="2"/>
  <c r="K5" i="2"/>
  <c r="G4" i="2"/>
  <c r="K4" i="2"/>
  <c r="K10" i="2"/>
  <c r="K11" i="3"/>
  <c r="J11" i="3"/>
  <c r="H11" i="3"/>
  <c r="A3" i="1"/>
  <c r="B3" i="1"/>
  <c r="B7" i="1"/>
  <c r="L8" i="2"/>
  <c r="M8" i="2"/>
  <c r="L4" i="2"/>
  <c r="L5" i="2"/>
  <c r="L6" i="2"/>
  <c r="L7" i="2"/>
  <c r="L3" i="2"/>
  <c r="G6" i="2"/>
  <c r="G7" i="2"/>
  <c r="G8" i="2"/>
  <c r="G3" i="2"/>
</calcChain>
</file>

<file path=xl/sharedStrings.xml><?xml version="1.0" encoding="utf-8"?>
<sst xmlns="http://schemas.openxmlformats.org/spreadsheetml/2006/main" count="395" uniqueCount="198">
  <si>
    <t>Asistencia mínima</t>
  </si>
  <si>
    <t>Ramo</t>
  </si>
  <si>
    <t>%</t>
  </si>
  <si>
    <t>Mecánica de fluidos</t>
  </si>
  <si>
    <t>Organización y comportamiento en la empresa</t>
  </si>
  <si>
    <t>Programación como herramienta para ingeniería</t>
  </si>
  <si>
    <t>Finanzas</t>
  </si>
  <si>
    <t>Ingeniería Logística</t>
  </si>
  <si>
    <t>Inglés</t>
  </si>
  <si>
    <t>Control de asistencia</t>
  </si>
  <si>
    <t>Semana</t>
  </si>
  <si>
    <t>Lunes</t>
  </si>
  <si>
    <t>Orga</t>
  </si>
  <si>
    <t>Fluidos</t>
  </si>
  <si>
    <t>Logística</t>
  </si>
  <si>
    <t>Martes</t>
  </si>
  <si>
    <t>Progra (ay)</t>
  </si>
  <si>
    <t>Finanzas(ay)</t>
  </si>
  <si>
    <t>Miercoles</t>
  </si>
  <si>
    <t xml:space="preserve">Progra </t>
  </si>
  <si>
    <t>Jueves</t>
  </si>
  <si>
    <t>Viernes</t>
  </si>
  <si>
    <t>31 Jul - 4 Ago</t>
  </si>
  <si>
    <t>7 Ago - 11 Ago</t>
  </si>
  <si>
    <t>14 Ago - 18 Ago</t>
  </si>
  <si>
    <t>21 Ago - 25 Ago</t>
  </si>
  <si>
    <t>28 Ago - 1 Sep</t>
  </si>
  <si>
    <t>4 Sep - 8 Sep</t>
  </si>
  <si>
    <t>11 Sep - 15 Sep</t>
  </si>
  <si>
    <t>18 Sep - 22 Sep</t>
  </si>
  <si>
    <t>25 Sep - 29 Sep</t>
  </si>
  <si>
    <t>2 Oct - 6 Oct</t>
  </si>
  <si>
    <t>9 Oct - 13 Oct</t>
  </si>
  <si>
    <t>16 Oct - 20 Oct</t>
  </si>
  <si>
    <t>23 Oct - 27 Oct</t>
  </si>
  <si>
    <t>30 Oct - 3 Nov</t>
  </si>
  <si>
    <t>6 Nov - 10 Nov</t>
  </si>
  <si>
    <t>13 Nov - 17 Nov</t>
  </si>
  <si>
    <t>Días totales de clases</t>
  </si>
  <si>
    <t>I1</t>
  </si>
  <si>
    <t>I2</t>
  </si>
  <si>
    <t>I3</t>
  </si>
  <si>
    <t>Examen</t>
  </si>
  <si>
    <t>Proyecto</t>
  </si>
  <si>
    <t>Impromptu 1</t>
  </si>
  <si>
    <t>Impromptu 2</t>
  </si>
  <si>
    <t>Midterm oral</t>
  </si>
  <si>
    <t>Midterm escrito</t>
  </si>
  <si>
    <t>Ingeniería logística</t>
  </si>
  <si>
    <t>Curso</t>
  </si>
  <si>
    <t>Ing Logística</t>
  </si>
  <si>
    <t>Organización y 
Comportamiento en la 
empresa</t>
  </si>
  <si>
    <t>Programación como 
herramienta para la ingeniería</t>
  </si>
  <si>
    <t>Mecánica de
 fluidos</t>
  </si>
  <si>
    <t>Dificultad (de 1 a 10)</t>
  </si>
  <si>
    <t>Cátedra</t>
  </si>
  <si>
    <t>Ayudantías</t>
  </si>
  <si>
    <t>Talleres</t>
  </si>
  <si>
    <t>Días que se puede faltar totales</t>
  </si>
  <si>
    <t>Clases restantes</t>
  </si>
  <si>
    <t>Días restantes que puedo faltar</t>
  </si>
  <si>
    <t>Clases faltadas</t>
  </si>
  <si>
    <t>Clases asistidas</t>
  </si>
  <si>
    <t>Total</t>
  </si>
  <si>
    <t>Cálculo para ramos con asistencia (horas por módulo)</t>
  </si>
  <si>
    <t>Porcentaje de avance en cátedras</t>
  </si>
  <si>
    <t>Porcentaje de avance en días</t>
  </si>
  <si>
    <t>Evaluación</t>
  </si>
  <si>
    <t>Ponderación</t>
  </si>
  <si>
    <t>Nota</t>
  </si>
  <si>
    <t>Realizado</t>
  </si>
  <si>
    <t>Recibido</t>
  </si>
  <si>
    <t>Promedio</t>
  </si>
  <si>
    <t>Talleres orga</t>
  </si>
  <si>
    <t>Orga (talleres)</t>
  </si>
  <si>
    <t>T1</t>
  </si>
  <si>
    <t>T2</t>
  </si>
  <si>
    <t>T3</t>
  </si>
  <si>
    <t>T4</t>
  </si>
  <si>
    <t>OTRA 1</t>
  </si>
  <si>
    <t>OTRA 2</t>
  </si>
  <si>
    <t>OTRA 3</t>
  </si>
  <si>
    <t>OTRA 4</t>
  </si>
  <si>
    <t>OTRA 5</t>
  </si>
  <si>
    <t>OTRA 6</t>
  </si>
  <si>
    <t>OTRA 7</t>
  </si>
  <si>
    <t>OTRA 8</t>
  </si>
  <si>
    <t>OTRA 9</t>
  </si>
  <si>
    <t>OTRA 10</t>
  </si>
  <si>
    <t>OTRA 11</t>
  </si>
  <si>
    <t>OTRA 12</t>
  </si>
  <si>
    <t>OTRA 13</t>
  </si>
  <si>
    <t>OTRA 14</t>
  </si>
  <si>
    <t>OTRA 15</t>
  </si>
  <si>
    <t>PROMEDIO OTRAS</t>
  </si>
  <si>
    <t>Requisitos</t>
  </si>
  <si>
    <t>(I+Examen)/2&gt;=4</t>
  </si>
  <si>
    <t>¿Se cumple?</t>
  </si>
  <si>
    <t>Receptive Skills 1(4)</t>
  </si>
  <si>
    <t>Receptive Skills 2(4)</t>
  </si>
  <si>
    <t>Receptive Skills 3(4)</t>
  </si>
  <si>
    <t>Total Remote Learning</t>
  </si>
  <si>
    <t>Remote Learing</t>
  </si>
  <si>
    <t>UC in english(6)</t>
  </si>
  <si>
    <t>Proyecto sustentabilidad(5)</t>
  </si>
  <si>
    <t>Blog 1(6)</t>
  </si>
  <si>
    <t>Blog 2(6)</t>
  </si>
  <si>
    <t>Max Impromptu</t>
  </si>
  <si>
    <t>Examen &gt;=3</t>
  </si>
  <si>
    <t>NC&gt;=3.95</t>
  </si>
  <si>
    <t>Proyecto&gt;=3.95</t>
  </si>
  <si>
    <t>Portfolio 1</t>
  </si>
  <si>
    <t>Portfolio 2</t>
  </si>
  <si>
    <t>Portfolio 3</t>
  </si>
  <si>
    <t>Deuda</t>
  </si>
  <si>
    <t>Valorización</t>
  </si>
  <si>
    <t>Puntos extra portfolios</t>
  </si>
  <si>
    <t>Programación como herramienta para la ingeniería</t>
  </si>
  <si>
    <t>APE1</t>
  </si>
  <si>
    <t>APE2</t>
  </si>
  <si>
    <t>APE3</t>
  </si>
  <si>
    <t>APE4</t>
  </si>
  <si>
    <t>APE5</t>
  </si>
  <si>
    <t>APE6</t>
  </si>
  <si>
    <t>APE7</t>
  </si>
  <si>
    <t>C1</t>
  </si>
  <si>
    <t>C2</t>
  </si>
  <si>
    <t>C3</t>
  </si>
  <si>
    <t>C4</t>
  </si>
  <si>
    <t>Participación</t>
  </si>
  <si>
    <t>A&gt;=3.95</t>
  </si>
  <si>
    <t>T&gt;=3.95</t>
  </si>
  <si>
    <t>E&gt;=3.95</t>
  </si>
  <si>
    <t>Créditos</t>
  </si>
  <si>
    <t xml:space="preserve">Finanzas </t>
  </si>
  <si>
    <t>Subconjunto 1</t>
  </si>
  <si>
    <t>% R</t>
  </si>
  <si>
    <t>% NO R</t>
  </si>
  <si>
    <t>Nota R</t>
  </si>
  <si>
    <t>Nota NO R</t>
  </si>
  <si>
    <t>Requisito</t>
  </si>
  <si>
    <t>Nota NO R -1</t>
  </si>
  <si>
    <t>SUMANDO</t>
  </si>
  <si>
    <t>Subconjunto 2</t>
  </si>
  <si>
    <t>SUMA</t>
  </si>
  <si>
    <t>Programacion como herramienta</t>
  </si>
  <si>
    <t>Subconjunto 3</t>
  </si>
  <si>
    <t>Subconjunto 4</t>
  </si>
  <si>
    <t>PONDERADOR NOTAS</t>
  </si>
  <si>
    <t>MULTIPLICADOR</t>
  </si>
  <si>
    <t>HORAS TOTALES</t>
  </si>
  <si>
    <t>CLASES</t>
  </si>
  <si>
    <t>HORAS EXTRAS</t>
  </si>
  <si>
    <t>Mi Horario</t>
  </si>
  <si>
    <t>Miércoles</t>
  </si>
  <si>
    <t>Sábado</t>
  </si>
  <si>
    <t>08:30</t>
  </si>
  <si>
    <t>13583-ICS3413 [CAT]</t>
  </si>
  <si>
    <t>10:00</t>
  </si>
  <si>
    <t>14352-ICS2813 [CAT]</t>
  </si>
  <si>
    <t>11:30</t>
  </si>
  <si>
    <t>14352-ICS2813 [TALL]</t>
  </si>
  <si>
    <t>14:00</t>
  </si>
  <si>
    <t>11299-ICH1104 [CAT]</t>
  </si>
  <si>
    <t>12347-IIC2115 [AYUD]</t>
  </si>
  <si>
    <t>12347-IIC2115 [CAT]</t>
  </si>
  <si>
    <t>15:30</t>
  </si>
  <si>
    <t>13977-RII6001 [CAT]</t>
  </si>
  <si>
    <t>17:00</t>
  </si>
  <si>
    <t>13583-ICS3413 [AYUD]
18597-ICT3443 [CAT]</t>
  </si>
  <si>
    <t>18597-ICT3443 [CAT]</t>
  </si>
  <si>
    <t>18:30</t>
  </si>
  <si>
    <t>20:00</t>
  </si>
  <si>
    <t>ESTUDIO</t>
  </si>
  <si>
    <t>Domingo</t>
  </si>
  <si>
    <t>MUSICA</t>
  </si>
  <si>
    <t>Musica</t>
  </si>
  <si>
    <t>Estudiado</t>
  </si>
  <si>
    <t>Restante</t>
  </si>
  <si>
    <t>TOTALES</t>
  </si>
  <si>
    <t>Asistencia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</si>
  <si>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</si>
  <si>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</si>
  <si>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</si>
  <si>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</si>
  <si>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</si>
  <si>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</si>
  <si>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</si>
  <si>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</si>
  <si>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</si>
  <si>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Participacion</t>
  </si>
  <si>
    <t>Examen(opcional)</t>
  </si>
  <si>
    <t>NI</t>
  </si>
  <si>
    <t>DI</t>
  </si>
  <si>
    <t>BONO1</t>
  </si>
  <si>
    <t>BONO2</t>
  </si>
  <si>
    <t>NI&gt;=3.95</t>
  </si>
  <si>
    <t>DI&gt;=3.95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</si>
</sst>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2" fillId="3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5" xfId="0" applyFill="1" applyBorder="1"/>
    <xf numFmtId="0" fontId="2" fillId="3" borderId="11" xfId="0" applyFont="1" applyFill="1" applyBorder="1" applyAlignment="1">
      <alignment vertical="center"/>
    </xf>
    <xf numFmtId="0" fontId="0" fillId="3" borderId="12" xfId="0" applyFill="1" applyBorder="1"/>
    <xf numFmtId="0" fontId="0" fillId="2" borderId="12" xfId="0" applyFill="1" applyBorder="1"/>
    <xf numFmtId="0" fontId="0" fillId="3" borderId="13" xfId="0" applyFill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2" borderId="2" xfId="0" applyFill="1" applyBorder="1"/>
    <xf numFmtId="0" fontId="0" fillId="0" borderId="0" xfId="0" applyAlignment="1">
      <alignment wrapText="1"/>
    </xf>
    <xf numFmtId="0" fontId="0" fillId="2" borderId="7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164" fontId="0" fillId="0" borderId="0" xfId="0" applyNumberFormat="1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16" fontId="5" fillId="0" borderId="0" xfId="0" applyNumberFormat="1" applyFont="1"/>
    <xf numFmtId="164" fontId="0" fillId="0" borderId="0" xfId="7" applyNumberFormat="1" applyFont="1"/>
    <xf numFmtId="0" fontId="5" fillId="0" borderId="0" xfId="0" applyFon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6" fillId="0" borderId="0" xfId="0" applyFont="1" applyBorder="1"/>
    <xf numFmtId="0" fontId="0" fillId="0" borderId="23" xfId="0" applyBorder="1"/>
    <xf numFmtId="0" fontId="0" fillId="0" borderId="24" xfId="0" applyBorder="1"/>
    <xf numFmtId="0" fontId="0" fillId="5" borderId="22" xfId="0" applyFill="1" applyBorder="1"/>
    <xf numFmtId="0" fontId="0" fillId="5" borderId="23" xfId="0" applyFill="1" applyBorder="1"/>
    <xf numFmtId="0" fontId="0" fillId="2" borderId="0" xfId="0" applyFill="1" applyBorder="1"/>
    <xf numFmtId="0" fontId="0" fillId="2" borderId="21" xfId="0" applyFill="1" applyBorder="1"/>
    <xf numFmtId="0" fontId="0" fillId="7" borderId="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8" borderId="0" xfId="0" applyFill="1"/>
    <xf numFmtId="0" fontId="0" fillId="0" borderId="0" xfId="0"/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8" borderId="29" xfId="0" applyFill="1" applyBorder="1" applyAlignment="1">
      <alignment horizontal="center" vertical="center" wrapText="1"/>
    </xf>
    <xf numFmtId="0" fontId="0" fillId="0" borderId="10" xfId="0" applyBorder="1"/>
    <xf numFmtId="0" fontId="0" fillId="0" borderId="2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0" borderId="4" xfId="0" applyFill="1" applyBorder="1"/>
    <xf numFmtId="0" fontId="0" fillId="10" borderId="4" xfId="0" applyFill="1" applyBorder="1"/>
    <xf numFmtId="0" fontId="0" fillId="10" borderId="1" xfId="0" applyFill="1" applyBorder="1"/>
    <xf numFmtId="9" fontId="0" fillId="0" borderId="0" xfId="7" applyFont="1"/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7" fillId="0" borderId="0" xfId="0" applyFont="1"/>
    <xf numFmtId="0" fontId="0" fillId="0" borderId="0" xfId="0"/>
    <xf numFmtId="0" fontId="0" fillId="11" borderId="0" xfId="0" applyFill="1" applyBorder="1"/>
    <xf numFmtId="0" fontId="0" fillId="6" borderId="0" xfId="0" applyFill="1"/>
  </cellXfs>
  <cellStyles count="154">
    <cellStyle name="Hipervínculo" xfId="1" builtinId="8" hidden="1"/>
    <cellStyle name="Hipervínculo" xfId="3" builtinId="8" hidden="1"/>
    <cellStyle name="Hipervínculo" xfId="5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Normal" xfId="0" builtinId="0"/>
    <cellStyle name="Porcentual" xfId="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baseColWidth="10" defaultRowHeight="15" x14ac:dyDescent="0"/>
  <cols>
    <col min="1" max="1" width="32" customWidth="1"/>
    <col min="3" max="3" width="25.1640625" customWidth="1"/>
  </cols>
  <sheetData>
    <row r="1" spans="1:2">
      <c r="A1" s="32">
        <v>42949</v>
      </c>
    </row>
    <row r="2" spans="1:2">
      <c r="A2" s="30"/>
    </row>
    <row r="3" spans="1:2">
      <c r="A3" s="31">
        <f ca="1">NOW()</f>
        <v>42961.788789351849</v>
      </c>
      <c r="B3" s="34">
        <f ca="1">A3-A1</f>
        <v>12.788789351849118</v>
      </c>
    </row>
    <row r="6" spans="1:2">
      <c r="A6" t="s">
        <v>65</v>
      </c>
      <c r="B6" s="28">
        <f>(Asistencias!J10+Asistencias!I10)/212</f>
        <v>8.4905660377358486E-2</v>
      </c>
    </row>
    <row r="7" spans="1:2">
      <c r="A7" t="s">
        <v>66</v>
      </c>
      <c r="B7" s="33">
        <f ca="1">B3/107</f>
        <v>0.11952139581167401</v>
      </c>
    </row>
    <row r="12" spans="1:2">
      <c r="A12" s="29"/>
    </row>
    <row r="13" spans="1:2">
      <c r="A1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xSplit="1" topLeftCell="I1" activePane="topRight" state="frozen"/>
      <selection pane="topRight" activeCell="M19" sqref="M19"/>
    </sheetView>
  </sheetViews>
  <sheetFormatPr baseColWidth="10" defaultRowHeight="15" x14ac:dyDescent="0"/>
  <cols>
    <col min="1" max="1" width="42.33203125" customWidth="1"/>
    <col min="2" max="2" width="14.83203125" customWidth="1"/>
    <col min="4" max="4" width="19.83203125" customWidth="1"/>
    <col min="5" max="5" width="12.5" customWidth="1"/>
    <col min="6" max="6" width="12.1640625" customWidth="1"/>
    <col min="7" max="7" width="12" customWidth="1"/>
    <col min="8" max="8" width="27.5" customWidth="1"/>
    <col min="9" max="9" width="16" customWidth="1"/>
    <col min="10" max="10" width="17.5" customWidth="1"/>
    <col min="11" max="11" width="14.83203125" customWidth="1"/>
    <col min="12" max="12" width="28" customWidth="1"/>
    <col min="13" max="13" width="22.1640625" customWidth="1"/>
  </cols>
  <sheetData>
    <row r="1" spans="1:18">
      <c r="A1" s="27" t="s">
        <v>0</v>
      </c>
      <c r="B1" s="27"/>
      <c r="D1" t="s">
        <v>38</v>
      </c>
      <c r="H1" t="s">
        <v>58</v>
      </c>
      <c r="I1" t="s">
        <v>61</v>
      </c>
      <c r="J1" t="s">
        <v>62</v>
      </c>
      <c r="K1" t="s">
        <v>59</v>
      </c>
      <c r="L1" t="s">
        <v>60</v>
      </c>
      <c r="M1" t="s">
        <v>64</v>
      </c>
      <c r="Q1" t="s">
        <v>180</v>
      </c>
    </row>
    <row r="2" spans="1:18">
      <c r="A2" s="1" t="s">
        <v>1</v>
      </c>
      <c r="B2" s="1" t="s">
        <v>2</v>
      </c>
      <c r="D2" t="s">
        <v>55</v>
      </c>
      <c r="E2" t="s">
        <v>56</v>
      </c>
      <c r="F2" t="s">
        <v>57</v>
      </c>
      <c r="G2" t="s">
        <v>63</v>
      </c>
    </row>
    <row r="3" spans="1:18">
      <c r="A3" t="s">
        <v>3</v>
      </c>
      <c r="B3" s="2">
        <v>0</v>
      </c>
      <c r="D3">
        <v>41</v>
      </c>
      <c r="E3">
        <v>0</v>
      </c>
      <c r="F3">
        <v>0</v>
      </c>
      <c r="G3">
        <f>SUM(D3:F3)</f>
        <v>41</v>
      </c>
      <c r="H3">
        <v>41</v>
      </c>
      <c r="I3">
        <f>COUNTIF(C15:C30,0)+COUNTIF(J15:J30,0)+COUNTIF(Q15:Q30,0)</f>
        <v>0</v>
      </c>
      <c r="J3">
        <f>COUNTIF(C15:C30,1)+COUNTIF(J15:J30,1)+COUNTIF(Q15:Q30,1)</f>
        <v>4</v>
      </c>
      <c r="K3">
        <f>G3-I3-J3</f>
        <v>37</v>
      </c>
      <c r="L3">
        <f>H3-I3</f>
        <v>41</v>
      </c>
      <c r="Q3" s="79">
        <f>J3/(I3+J3)</f>
        <v>1</v>
      </c>
    </row>
    <row r="4" spans="1:18">
      <c r="A4" t="s">
        <v>4</v>
      </c>
      <c r="B4" s="2">
        <v>0.8</v>
      </c>
      <c r="D4">
        <v>25</v>
      </c>
      <c r="E4">
        <v>0</v>
      </c>
      <c r="F4">
        <v>8</v>
      </c>
      <c r="G4">
        <f t="shared" ref="G4:G8" si="0">SUM(D4:F4)</f>
        <v>33</v>
      </c>
      <c r="H4">
        <v>6</v>
      </c>
      <c r="I4">
        <f>COUNTIF(B15:B30,0)+COUNTIF(I15:I30,0)+COUNTIF(P15:P30,0)</f>
        <v>1</v>
      </c>
      <c r="J4">
        <f>COUNTIF(B15:B30,1)+COUNTIF(I15:I30,1)+COUNTIF(P15:P30,1)</f>
        <v>1</v>
      </c>
      <c r="K4">
        <f t="shared" ref="K4:K8" si="1">G4-I4-J4</f>
        <v>31</v>
      </c>
      <c r="L4">
        <f t="shared" ref="L4:L8" si="2">H4-I4</f>
        <v>5</v>
      </c>
      <c r="Q4" s="79">
        <f t="shared" ref="Q4:Q10" si="3">J4/(I4+J4)</f>
        <v>0.5</v>
      </c>
    </row>
    <row r="5" spans="1:18">
      <c r="A5" t="s">
        <v>5</v>
      </c>
      <c r="B5" s="2"/>
      <c r="D5">
        <v>32</v>
      </c>
      <c r="E5">
        <v>12</v>
      </c>
      <c r="F5">
        <v>0</v>
      </c>
      <c r="G5">
        <f t="shared" si="0"/>
        <v>44</v>
      </c>
      <c r="H5">
        <v>45</v>
      </c>
      <c r="I5">
        <f>COUNTIF(H15:H30,0)+COUNTIF(N15:O30,0)</f>
        <v>0</v>
      </c>
      <c r="J5">
        <f>COUNTIF(H15:H30,1)+COUNTIF(N15:O30,1)</f>
        <v>4</v>
      </c>
      <c r="K5">
        <f t="shared" si="1"/>
        <v>40</v>
      </c>
      <c r="L5">
        <f t="shared" si="2"/>
        <v>45</v>
      </c>
      <c r="Q5" s="79">
        <f t="shared" si="3"/>
        <v>1</v>
      </c>
    </row>
    <row r="6" spans="1:18">
      <c r="A6" t="s">
        <v>6</v>
      </c>
      <c r="B6" s="2">
        <v>0</v>
      </c>
      <c r="D6">
        <v>29</v>
      </c>
      <c r="E6">
        <v>8</v>
      </c>
      <c r="F6">
        <v>0</v>
      </c>
      <c r="G6">
        <f t="shared" si="0"/>
        <v>37</v>
      </c>
      <c r="H6">
        <v>37</v>
      </c>
      <c r="I6">
        <f>COUNTIF(F15:G30,0)+COUNTIF(M15:M30,0)</f>
        <v>0</v>
      </c>
      <c r="J6">
        <f>COUNTIF(F15:G30,1)+COUNTIF(M15:M30,1)</f>
        <v>3</v>
      </c>
      <c r="K6">
        <f t="shared" si="1"/>
        <v>34</v>
      </c>
      <c r="L6">
        <f t="shared" si="2"/>
        <v>37</v>
      </c>
      <c r="Q6" s="79">
        <f t="shared" si="3"/>
        <v>1</v>
      </c>
    </row>
    <row r="7" spans="1:18">
      <c r="A7" t="s">
        <v>7</v>
      </c>
      <c r="B7" s="2">
        <v>0</v>
      </c>
      <c r="D7">
        <v>28</v>
      </c>
      <c r="E7">
        <v>0</v>
      </c>
      <c r="F7">
        <v>0</v>
      </c>
      <c r="G7">
        <f t="shared" si="0"/>
        <v>28</v>
      </c>
      <c r="H7">
        <v>28</v>
      </c>
      <c r="I7">
        <f>COUNTIF(E15:E30,0)+COUNTIF(L15:L30,0)+COUNTIF(R15:R30,0)</f>
        <v>0</v>
      </c>
      <c r="J7">
        <f>COUNTIF(E15:E30,1)+COUNTIF(L15:L30,1)+COUNTIF(R15:R30,1)</f>
        <v>2</v>
      </c>
      <c r="K7">
        <f t="shared" si="1"/>
        <v>26</v>
      </c>
      <c r="L7">
        <f t="shared" si="2"/>
        <v>28</v>
      </c>
      <c r="Q7" s="79">
        <f t="shared" si="3"/>
        <v>1</v>
      </c>
    </row>
    <row r="8" spans="1:18">
      <c r="A8" t="s">
        <v>8</v>
      </c>
      <c r="B8" s="2">
        <v>0.75</v>
      </c>
      <c r="D8">
        <v>27</v>
      </c>
      <c r="E8">
        <v>0</v>
      </c>
      <c r="F8">
        <v>0</v>
      </c>
      <c r="G8">
        <f t="shared" si="0"/>
        <v>27</v>
      </c>
      <c r="H8">
        <v>6</v>
      </c>
      <c r="I8">
        <f>COUNTIF(D15:D30,0)+COUNTIF(K15:K30,0)</f>
        <v>0</v>
      </c>
      <c r="J8">
        <f>COUNTIF(D15:D30,1)+COUNTIF(K15:K30,1)</f>
        <v>3</v>
      </c>
      <c r="K8">
        <f t="shared" si="1"/>
        <v>24</v>
      </c>
      <c r="L8">
        <f t="shared" si="2"/>
        <v>6</v>
      </c>
      <c r="M8">
        <f>1.5*(K8-L8)/K8</f>
        <v>1.125</v>
      </c>
      <c r="Q8" s="79">
        <f t="shared" si="3"/>
        <v>1</v>
      </c>
    </row>
    <row r="9" spans="1:18">
      <c r="A9" t="s">
        <v>73</v>
      </c>
      <c r="B9" s="2"/>
      <c r="F9">
        <v>8</v>
      </c>
      <c r="H9">
        <v>2</v>
      </c>
      <c r="I9">
        <f>COUNTIF(P15:P30,0)</f>
        <v>1</v>
      </c>
      <c r="J9">
        <f>COUNTIF(P15:P30,1)</f>
        <v>0</v>
      </c>
      <c r="K9">
        <f>F9-J9-I9</f>
        <v>7</v>
      </c>
      <c r="L9">
        <f>H9-I9</f>
        <v>1</v>
      </c>
      <c r="M9">
        <f>1.5*(K9-L9)/K9</f>
        <v>1.2857142857142858</v>
      </c>
      <c r="Q9" s="79">
        <f t="shared" si="3"/>
        <v>0</v>
      </c>
    </row>
    <row r="10" spans="1:18">
      <c r="I10">
        <f t="shared" ref="I10:J10" si="4">SUM(I3:I8)</f>
        <v>1</v>
      </c>
      <c r="J10">
        <f t="shared" si="4"/>
        <v>17</v>
      </c>
      <c r="K10">
        <f>SUM(K3:K9)</f>
        <v>199</v>
      </c>
      <c r="Q10" s="79">
        <f t="shared" si="3"/>
        <v>0.94444444444444442</v>
      </c>
    </row>
    <row r="12" spans="1:18" ht="16" thickBot="1"/>
    <row r="13" spans="1:18">
      <c r="A13" s="20" t="s">
        <v>9</v>
      </c>
      <c r="B13" s="84" t="s">
        <v>11</v>
      </c>
      <c r="C13" s="84"/>
      <c r="D13" s="84"/>
      <c r="E13" s="84"/>
      <c r="F13" s="85"/>
      <c r="G13" s="81" t="s">
        <v>15</v>
      </c>
      <c r="H13" s="81"/>
      <c r="I13" s="82" t="s">
        <v>18</v>
      </c>
      <c r="J13" s="82"/>
      <c r="K13" s="82"/>
      <c r="L13" s="82"/>
      <c r="M13" s="81" t="s">
        <v>20</v>
      </c>
      <c r="N13" s="81"/>
      <c r="O13" s="81"/>
      <c r="P13" s="82" t="s">
        <v>21</v>
      </c>
      <c r="Q13" s="82"/>
      <c r="R13" s="83"/>
    </row>
    <row r="14" spans="1:18" ht="16" thickBot="1">
      <c r="A14" s="21" t="s">
        <v>10</v>
      </c>
      <c r="B14" s="16" t="s">
        <v>12</v>
      </c>
      <c r="C14" s="3" t="s">
        <v>13</v>
      </c>
      <c r="D14" s="3" t="s">
        <v>8</v>
      </c>
      <c r="E14" s="3" t="s">
        <v>14</v>
      </c>
      <c r="F14" s="3" t="s">
        <v>17</v>
      </c>
      <c r="G14" s="4" t="s">
        <v>6</v>
      </c>
      <c r="H14" s="4" t="s">
        <v>16</v>
      </c>
      <c r="I14" s="3" t="s">
        <v>12</v>
      </c>
      <c r="J14" s="3" t="s">
        <v>13</v>
      </c>
      <c r="K14" s="3" t="s">
        <v>8</v>
      </c>
      <c r="L14" s="3" t="s">
        <v>14</v>
      </c>
      <c r="M14" s="4" t="s">
        <v>6</v>
      </c>
      <c r="N14" s="4" t="s">
        <v>19</v>
      </c>
      <c r="O14" s="4" t="s">
        <v>19</v>
      </c>
      <c r="P14" s="3" t="s">
        <v>74</v>
      </c>
      <c r="Q14" s="3" t="s">
        <v>13</v>
      </c>
      <c r="R14" s="5" t="s">
        <v>14</v>
      </c>
    </row>
    <row r="15" spans="1:18">
      <c r="A15" s="21" t="s">
        <v>22</v>
      </c>
      <c r="B15" s="25"/>
      <c r="C15" s="23"/>
      <c r="D15" s="23"/>
      <c r="E15" s="23"/>
      <c r="F15" s="23"/>
      <c r="G15" s="23"/>
      <c r="H15" s="23"/>
      <c r="I15" s="23"/>
      <c r="J15" s="9">
        <v>1</v>
      </c>
      <c r="K15" s="9">
        <v>1</v>
      </c>
      <c r="L15" s="9">
        <v>1</v>
      </c>
      <c r="M15" s="10">
        <v>1</v>
      </c>
      <c r="N15" s="10">
        <v>1</v>
      </c>
      <c r="O15" s="10">
        <v>1</v>
      </c>
      <c r="P15" s="23"/>
      <c r="Q15" s="9">
        <v>1</v>
      </c>
      <c r="R15" s="26"/>
    </row>
    <row r="16" spans="1:18">
      <c r="A16" s="21" t="s">
        <v>23</v>
      </c>
      <c r="B16" s="18"/>
      <c r="C16" s="6">
        <v>1</v>
      </c>
      <c r="D16" s="6">
        <v>1</v>
      </c>
      <c r="E16" s="6">
        <v>1</v>
      </c>
      <c r="F16" s="8"/>
      <c r="G16" s="7">
        <v>1</v>
      </c>
      <c r="H16" s="8"/>
      <c r="I16" s="6">
        <v>1</v>
      </c>
      <c r="J16" s="6">
        <v>1</v>
      </c>
      <c r="K16" s="6">
        <v>1</v>
      </c>
      <c r="L16" s="8"/>
      <c r="M16" s="7">
        <v>1</v>
      </c>
      <c r="N16" s="7">
        <v>1</v>
      </c>
      <c r="O16" s="7">
        <v>1</v>
      </c>
      <c r="P16" s="6">
        <v>0</v>
      </c>
      <c r="Q16" s="8"/>
      <c r="R16" s="12"/>
    </row>
    <row r="17" spans="1:18">
      <c r="A17" s="21" t="s">
        <v>24</v>
      </c>
      <c r="B17" s="18"/>
      <c r="C17" s="8"/>
      <c r="D17" s="8"/>
      <c r="E17" s="8"/>
      <c r="F17" s="8"/>
      <c r="G17" s="8"/>
      <c r="H17" s="8"/>
      <c r="I17" s="6"/>
      <c r="J17" s="6"/>
      <c r="K17" s="6"/>
      <c r="L17" s="8"/>
      <c r="M17" s="7"/>
      <c r="N17" s="7"/>
      <c r="O17" s="7"/>
      <c r="P17" s="8"/>
      <c r="Q17" s="6"/>
      <c r="R17" s="12"/>
    </row>
    <row r="18" spans="1:18">
      <c r="A18" s="21" t="s">
        <v>25</v>
      </c>
      <c r="B18" s="17"/>
      <c r="C18" s="6"/>
      <c r="D18" s="6"/>
      <c r="E18" s="6"/>
      <c r="F18" s="6"/>
      <c r="G18" s="7"/>
      <c r="H18" s="7"/>
      <c r="I18" s="6"/>
      <c r="J18" s="6"/>
      <c r="K18" s="6"/>
      <c r="L18" s="6"/>
      <c r="M18" s="7"/>
      <c r="N18" s="7"/>
      <c r="O18" s="7"/>
      <c r="P18" s="6"/>
      <c r="Q18" s="6"/>
      <c r="R18" s="11"/>
    </row>
    <row r="19" spans="1:18">
      <c r="A19" s="21" t="s">
        <v>26</v>
      </c>
      <c r="B19" s="17"/>
      <c r="C19" s="6"/>
      <c r="D19" s="6"/>
      <c r="E19" s="6"/>
      <c r="F19" s="6"/>
      <c r="G19" s="7"/>
      <c r="H19" s="7"/>
      <c r="I19" s="6"/>
      <c r="J19" s="6"/>
      <c r="K19" s="6"/>
      <c r="L19" s="6"/>
      <c r="M19" s="7"/>
      <c r="N19" s="7"/>
      <c r="O19" s="7"/>
      <c r="P19" s="6"/>
      <c r="Q19" s="6"/>
      <c r="R19" s="12"/>
    </row>
    <row r="20" spans="1:18">
      <c r="A20" s="21" t="s">
        <v>27</v>
      </c>
      <c r="B20" s="17"/>
      <c r="C20" s="6"/>
      <c r="D20" s="6"/>
      <c r="E20" s="6"/>
      <c r="F20" s="6"/>
      <c r="G20" s="7"/>
      <c r="H20" s="7"/>
      <c r="I20" s="6"/>
      <c r="J20" s="6"/>
      <c r="K20" s="6"/>
      <c r="L20" s="6"/>
      <c r="M20" s="7"/>
      <c r="N20" s="7"/>
      <c r="O20" s="7"/>
      <c r="P20" s="78"/>
      <c r="Q20" s="6"/>
      <c r="R20" s="11"/>
    </row>
    <row r="21" spans="1:18">
      <c r="A21" s="21" t="s">
        <v>28</v>
      </c>
      <c r="B21" s="17"/>
      <c r="C21" s="6"/>
      <c r="D21" s="6"/>
      <c r="E21" s="6"/>
      <c r="F21" s="6"/>
      <c r="G21" s="7"/>
      <c r="H21" s="7"/>
      <c r="I21" s="6"/>
      <c r="J21" s="6"/>
      <c r="K21" s="6"/>
      <c r="L21" s="6"/>
      <c r="M21" s="7"/>
      <c r="N21" s="7"/>
      <c r="O21" s="7"/>
      <c r="P21" s="8"/>
      <c r="Q21" s="8"/>
      <c r="R21" s="12"/>
    </row>
    <row r="22" spans="1:18">
      <c r="A22" s="21" t="s">
        <v>29</v>
      </c>
      <c r="B22" s="18"/>
      <c r="C22" s="8"/>
      <c r="D22" s="8"/>
      <c r="E22" s="8"/>
      <c r="F22" s="8"/>
      <c r="G22" s="8"/>
      <c r="H22" s="8"/>
      <c r="I22" s="6"/>
      <c r="J22" s="6"/>
      <c r="K22" s="6"/>
      <c r="L22" s="6"/>
      <c r="M22" s="7"/>
      <c r="N22" s="7"/>
      <c r="O22" s="7"/>
      <c r="P22" s="6"/>
      <c r="Q22" s="6"/>
      <c r="R22" s="11"/>
    </row>
    <row r="23" spans="1:18">
      <c r="A23" s="21" t="s">
        <v>30</v>
      </c>
      <c r="B23" s="17"/>
      <c r="C23" s="6"/>
      <c r="D23" s="6"/>
      <c r="E23" s="6"/>
      <c r="F23" s="8"/>
      <c r="G23" s="7"/>
      <c r="H23" s="7"/>
      <c r="I23" s="6"/>
      <c r="J23" s="6"/>
      <c r="K23" s="6"/>
      <c r="L23" s="8"/>
      <c r="M23" s="7"/>
      <c r="N23" s="7"/>
      <c r="O23" s="7"/>
      <c r="P23" s="6"/>
      <c r="Q23" s="6"/>
      <c r="R23" s="11"/>
    </row>
    <row r="24" spans="1:18">
      <c r="A24" s="21" t="s">
        <v>31</v>
      </c>
      <c r="B24" s="17"/>
      <c r="C24" s="6"/>
      <c r="D24" s="6"/>
      <c r="E24" s="6"/>
      <c r="F24" s="8"/>
      <c r="G24" s="7"/>
      <c r="H24" s="7"/>
      <c r="I24" s="6"/>
      <c r="J24" s="6"/>
      <c r="K24" s="6"/>
      <c r="L24" s="6"/>
      <c r="M24" s="7"/>
      <c r="N24" s="7"/>
      <c r="O24" s="7"/>
      <c r="P24" s="8"/>
      <c r="Q24" s="6"/>
      <c r="R24" s="12"/>
    </row>
    <row r="25" spans="1:18">
      <c r="A25" s="21" t="s">
        <v>32</v>
      </c>
      <c r="B25" s="18"/>
      <c r="C25" s="8"/>
      <c r="D25" s="8"/>
      <c r="E25" s="8"/>
      <c r="F25" s="8"/>
      <c r="G25" s="7"/>
      <c r="H25" s="7"/>
      <c r="I25" s="6"/>
      <c r="J25" s="6"/>
      <c r="K25" s="6"/>
      <c r="L25" s="8"/>
      <c r="M25" s="7"/>
      <c r="N25" s="7"/>
      <c r="O25" s="7"/>
      <c r="P25" s="6"/>
      <c r="Q25" s="6"/>
      <c r="R25" s="11"/>
    </row>
    <row r="26" spans="1:18">
      <c r="A26" s="21" t="s">
        <v>33</v>
      </c>
      <c r="B26" s="17"/>
      <c r="C26" s="6"/>
      <c r="D26" s="6"/>
      <c r="E26" s="6"/>
      <c r="F26" s="6"/>
      <c r="G26" s="7"/>
      <c r="H26" s="7"/>
      <c r="I26" s="6"/>
      <c r="J26" s="6"/>
      <c r="K26" s="6"/>
      <c r="L26" s="6"/>
      <c r="M26" s="7"/>
      <c r="N26" s="7"/>
      <c r="O26" s="7"/>
      <c r="P26" s="78"/>
      <c r="Q26" s="6"/>
      <c r="R26" s="12"/>
    </row>
    <row r="27" spans="1:18">
      <c r="A27" s="21" t="s">
        <v>34</v>
      </c>
      <c r="B27" s="17"/>
      <c r="C27" s="6"/>
      <c r="D27" s="6"/>
      <c r="E27" s="8"/>
      <c r="F27" s="6"/>
      <c r="G27" s="7"/>
      <c r="H27" s="7"/>
      <c r="I27" s="6"/>
      <c r="J27" s="6"/>
      <c r="K27" s="6"/>
      <c r="L27" s="8"/>
      <c r="M27" s="7"/>
      <c r="N27" s="7"/>
      <c r="O27" s="7"/>
      <c r="P27" s="8"/>
      <c r="Q27" s="8"/>
      <c r="R27" s="12"/>
    </row>
    <row r="28" spans="1:18">
      <c r="A28" s="21" t="s">
        <v>35</v>
      </c>
      <c r="B28" s="17"/>
      <c r="C28" s="6"/>
      <c r="D28" s="6"/>
      <c r="E28" s="6"/>
      <c r="F28" s="8"/>
      <c r="G28" s="7"/>
      <c r="H28" s="7"/>
      <c r="I28" s="8"/>
      <c r="J28" s="8"/>
      <c r="K28" s="8"/>
      <c r="L28" s="8"/>
      <c r="M28" s="7"/>
      <c r="N28" s="7"/>
      <c r="O28" s="7"/>
      <c r="P28" s="6"/>
      <c r="Q28" s="6"/>
      <c r="R28" s="11"/>
    </row>
    <row r="29" spans="1:18">
      <c r="A29" s="21" t="s">
        <v>36</v>
      </c>
      <c r="B29" s="17"/>
      <c r="C29" s="6"/>
      <c r="D29" s="6"/>
      <c r="E29" s="6"/>
      <c r="F29" s="6"/>
      <c r="G29" s="7"/>
      <c r="H29" s="7"/>
      <c r="I29" s="6"/>
      <c r="J29" s="6"/>
      <c r="K29" s="6"/>
      <c r="L29" s="6"/>
      <c r="M29" s="7"/>
      <c r="N29" s="7"/>
      <c r="O29" s="7"/>
      <c r="P29" s="6"/>
      <c r="Q29" s="6"/>
      <c r="R29" s="12"/>
    </row>
    <row r="30" spans="1:18" ht="16" thickBot="1">
      <c r="A30" s="22" t="s">
        <v>37</v>
      </c>
      <c r="B30" s="19"/>
      <c r="C30" s="13"/>
      <c r="D30" s="13"/>
      <c r="E30" s="13"/>
      <c r="F30" s="13"/>
      <c r="G30" s="14"/>
      <c r="H30" s="14"/>
      <c r="I30" s="76"/>
      <c r="J30" s="13"/>
      <c r="K30" s="13"/>
      <c r="L30" s="13"/>
      <c r="M30" s="14"/>
      <c r="N30" s="14"/>
      <c r="O30" s="14"/>
      <c r="P30" s="77"/>
      <c r="Q30" s="13"/>
      <c r="R30" s="15"/>
    </row>
    <row r="32" spans="1:18">
      <c r="B32">
        <v>5</v>
      </c>
      <c r="C32">
        <v>4</v>
      </c>
      <c r="D32">
        <v>4</v>
      </c>
      <c r="E32">
        <v>5</v>
      </c>
      <c r="F32">
        <v>8</v>
      </c>
      <c r="G32">
        <v>3</v>
      </c>
      <c r="H32">
        <v>4</v>
      </c>
      <c r="I32">
        <v>2</v>
      </c>
      <c r="J32">
        <v>1</v>
      </c>
      <c r="K32">
        <v>1</v>
      </c>
      <c r="L32">
        <v>6</v>
      </c>
      <c r="M32">
        <v>0</v>
      </c>
      <c r="N32">
        <v>0</v>
      </c>
      <c r="O32">
        <v>0</v>
      </c>
      <c r="P32">
        <v>5</v>
      </c>
      <c r="Q32">
        <v>3</v>
      </c>
      <c r="R32">
        <v>9</v>
      </c>
    </row>
    <row r="33" spans="2:19">
      <c r="B33" s="80">
        <f t="shared" ref="B33:Q33" si="5">16-B32</f>
        <v>11</v>
      </c>
      <c r="C33" s="80">
        <f t="shared" si="5"/>
        <v>12</v>
      </c>
      <c r="D33" s="80">
        <f t="shared" si="5"/>
        <v>12</v>
      </c>
      <c r="E33" s="80">
        <f t="shared" si="5"/>
        <v>11</v>
      </c>
      <c r="F33" s="80">
        <f t="shared" si="5"/>
        <v>8</v>
      </c>
      <c r="G33" s="80">
        <f t="shared" si="5"/>
        <v>13</v>
      </c>
      <c r="H33" s="80">
        <f t="shared" si="5"/>
        <v>12</v>
      </c>
      <c r="I33" s="80">
        <f t="shared" si="5"/>
        <v>14</v>
      </c>
      <c r="J33" s="80">
        <f t="shared" si="5"/>
        <v>15</v>
      </c>
      <c r="K33" s="80">
        <f t="shared" si="5"/>
        <v>15</v>
      </c>
      <c r="L33" s="80">
        <f t="shared" si="5"/>
        <v>10</v>
      </c>
      <c r="M33" s="80">
        <f t="shared" si="5"/>
        <v>16</v>
      </c>
      <c r="N33" s="80">
        <f t="shared" si="5"/>
        <v>16</v>
      </c>
      <c r="O33" s="80">
        <f t="shared" si="5"/>
        <v>16</v>
      </c>
      <c r="P33" s="80">
        <f t="shared" si="5"/>
        <v>11</v>
      </c>
      <c r="Q33" s="80">
        <f t="shared" si="5"/>
        <v>13</v>
      </c>
      <c r="R33">
        <f>16-R32</f>
        <v>7</v>
      </c>
      <c r="S33">
        <f>SUM(B33:R33)</f>
        <v>212</v>
      </c>
    </row>
  </sheetData>
  <mergeCells count="5">
    <mergeCell ref="G13:H13"/>
    <mergeCell ref="I13:L13"/>
    <mergeCell ref="M13:O13"/>
    <mergeCell ref="P13:R13"/>
    <mergeCell ref="B13:F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opLeftCell="S3" workbookViewId="0">
      <selection activeCell="AF19" sqref="AF19"/>
    </sheetView>
  </sheetViews>
  <sheetFormatPr baseColWidth="10" defaultRowHeight="15" x14ac:dyDescent="0"/>
  <cols>
    <col min="3" max="3" width="11.83203125" customWidth="1"/>
    <col min="13" max="13" width="21.83203125" customWidth="1"/>
    <col min="19" max="19" width="16.83203125" customWidth="1"/>
    <col min="21" max="21" width="11.5" bestFit="1" customWidth="1"/>
    <col min="25" max="25" width="13.5" customWidth="1"/>
  </cols>
  <sheetData>
    <row r="1" spans="1:35" ht="16" thickBot="1"/>
    <row r="2" spans="1:35">
      <c r="A2" s="86" t="s">
        <v>6</v>
      </c>
      <c r="B2" s="87"/>
      <c r="C2" s="87"/>
      <c r="D2" s="87"/>
      <c r="E2" s="88"/>
      <c r="G2" s="86" t="s">
        <v>3</v>
      </c>
      <c r="H2" s="87"/>
      <c r="I2" s="87"/>
      <c r="J2" s="87"/>
      <c r="K2" s="88"/>
      <c r="M2" s="86" t="s">
        <v>8</v>
      </c>
      <c r="N2" s="87"/>
      <c r="O2" s="87"/>
      <c r="P2" s="87"/>
      <c r="Q2" s="88"/>
      <c r="S2" s="86" t="s">
        <v>48</v>
      </c>
      <c r="T2" s="87"/>
      <c r="U2" s="87"/>
      <c r="V2" s="87"/>
      <c r="W2" s="88"/>
      <c r="Y2" s="86" t="s">
        <v>117</v>
      </c>
      <c r="Z2" s="87"/>
      <c r="AA2" s="87"/>
      <c r="AB2" s="87"/>
      <c r="AC2" s="88"/>
      <c r="AE2" s="86" t="s">
        <v>4</v>
      </c>
      <c r="AF2" s="87"/>
      <c r="AG2" s="87"/>
      <c r="AH2" s="87"/>
      <c r="AI2" s="88"/>
    </row>
    <row r="3" spans="1:35">
      <c r="A3" s="35"/>
      <c r="B3" s="36"/>
      <c r="C3" s="36"/>
      <c r="D3" s="36"/>
      <c r="E3" s="37"/>
      <c r="G3" s="35"/>
      <c r="H3" s="36"/>
      <c r="I3" s="36"/>
      <c r="J3" s="36"/>
      <c r="K3" s="37"/>
      <c r="M3" s="35"/>
      <c r="N3" s="36"/>
      <c r="O3" s="36"/>
      <c r="P3" s="36"/>
      <c r="Q3" s="37"/>
      <c r="S3" s="35"/>
      <c r="T3" s="36"/>
      <c r="U3" s="36"/>
      <c r="V3" s="36"/>
      <c r="W3" s="37"/>
      <c r="Y3" s="35"/>
      <c r="Z3" s="36"/>
      <c r="AA3" s="36"/>
      <c r="AB3" s="36"/>
      <c r="AC3" s="37"/>
      <c r="AE3" s="35"/>
      <c r="AF3" s="36"/>
      <c r="AG3" s="36"/>
      <c r="AH3" s="36"/>
      <c r="AI3" s="37"/>
    </row>
    <row r="4" spans="1:35">
      <c r="A4" s="35" t="s">
        <v>67</v>
      </c>
      <c r="B4" s="36" t="s">
        <v>69</v>
      </c>
      <c r="C4" s="36" t="s">
        <v>68</v>
      </c>
      <c r="D4" s="36" t="s">
        <v>70</v>
      </c>
      <c r="E4" s="37" t="s">
        <v>71</v>
      </c>
      <c r="F4" s="36"/>
      <c r="G4" s="35" t="s">
        <v>67</v>
      </c>
      <c r="H4" s="36" t="s">
        <v>69</v>
      </c>
      <c r="I4" s="36" t="s">
        <v>68</v>
      </c>
      <c r="J4" s="36" t="s">
        <v>70</v>
      </c>
      <c r="K4" s="37" t="s">
        <v>71</v>
      </c>
      <c r="M4" s="35" t="s">
        <v>67</v>
      </c>
      <c r="N4" s="36" t="s">
        <v>69</v>
      </c>
      <c r="O4" s="36" t="s">
        <v>68</v>
      </c>
      <c r="P4" s="36" t="s">
        <v>70</v>
      </c>
      <c r="Q4" s="37" t="s">
        <v>71</v>
      </c>
      <c r="S4" s="35" t="s">
        <v>67</v>
      </c>
      <c r="T4" s="36" t="s">
        <v>69</v>
      </c>
      <c r="U4" s="36" t="s">
        <v>68</v>
      </c>
      <c r="V4" s="36" t="s">
        <v>70</v>
      </c>
      <c r="W4" s="37" t="s">
        <v>71</v>
      </c>
      <c r="Y4" s="35" t="s">
        <v>67</v>
      </c>
      <c r="Z4" s="36" t="s">
        <v>69</v>
      </c>
      <c r="AA4" s="36" t="s">
        <v>68</v>
      </c>
      <c r="AB4" s="36" t="s">
        <v>70</v>
      </c>
      <c r="AC4" s="37" t="s">
        <v>71</v>
      </c>
      <c r="AE4" s="35" t="s">
        <v>67</v>
      </c>
      <c r="AF4" s="36" t="s">
        <v>69</v>
      </c>
      <c r="AG4" s="36" t="s">
        <v>68</v>
      </c>
      <c r="AH4" s="36" t="s">
        <v>70</v>
      </c>
      <c r="AI4" s="37" t="s">
        <v>71</v>
      </c>
    </row>
    <row r="5" spans="1:35">
      <c r="A5" s="35" t="s">
        <v>39</v>
      </c>
      <c r="B5" s="36"/>
      <c r="C5" s="36">
        <f>0.4/3</f>
        <v>0.13333333333333333</v>
      </c>
      <c r="D5" s="36"/>
      <c r="E5" s="37"/>
      <c r="G5" s="35" t="s">
        <v>39</v>
      </c>
      <c r="H5" s="36">
        <v>4</v>
      </c>
      <c r="I5" s="38">
        <v>0.2</v>
      </c>
      <c r="J5" s="36"/>
      <c r="K5" s="37"/>
      <c r="M5" s="35" t="s">
        <v>44</v>
      </c>
      <c r="N5" s="36"/>
      <c r="O5" s="36">
        <v>2.5000000000000001E-2</v>
      </c>
      <c r="P5" s="36"/>
      <c r="Q5" s="37"/>
      <c r="S5" s="35" t="s">
        <v>39</v>
      </c>
      <c r="T5" s="36">
        <v>5</v>
      </c>
      <c r="U5" s="36">
        <v>0.35</v>
      </c>
      <c r="V5" s="36"/>
      <c r="W5" s="37"/>
      <c r="Y5" s="35" t="s">
        <v>118</v>
      </c>
      <c r="Z5" s="36">
        <v>4</v>
      </c>
      <c r="AA5" s="36">
        <f t="shared" ref="AA5:AA11" si="0">0.3/7</f>
        <v>4.2857142857142858E-2</v>
      </c>
      <c r="AB5" s="36"/>
      <c r="AC5" s="37"/>
      <c r="AE5" s="35" t="s">
        <v>39</v>
      </c>
      <c r="AF5" s="36">
        <v>4</v>
      </c>
      <c r="AG5" s="36">
        <v>0.2</v>
      </c>
      <c r="AH5" s="36"/>
      <c r="AI5" s="37"/>
    </row>
    <row r="6" spans="1:35">
      <c r="A6" s="35" t="s">
        <v>40</v>
      </c>
      <c r="B6" s="36"/>
      <c r="C6" s="36">
        <f>0.4/3</f>
        <v>0.13333333333333333</v>
      </c>
      <c r="D6" s="36"/>
      <c r="E6" s="37"/>
      <c r="G6" s="35" t="s">
        <v>40</v>
      </c>
      <c r="H6" s="36"/>
      <c r="I6" s="38">
        <v>0.2</v>
      </c>
      <c r="J6" s="36"/>
      <c r="K6" s="37"/>
      <c r="M6" s="35" t="s">
        <v>45</v>
      </c>
      <c r="N6" s="36"/>
      <c r="O6" s="36">
        <v>2.5000000000000001E-2</v>
      </c>
      <c r="P6" s="36"/>
      <c r="Q6" s="37"/>
      <c r="S6" s="35" t="s">
        <v>42</v>
      </c>
      <c r="T6" s="36"/>
      <c r="U6" s="36">
        <v>0.35</v>
      </c>
      <c r="V6" s="36"/>
      <c r="W6" s="37"/>
      <c r="Y6" s="35" t="s">
        <v>119</v>
      </c>
      <c r="Z6" s="36"/>
      <c r="AA6" s="36">
        <f t="shared" si="0"/>
        <v>4.2857142857142858E-2</v>
      </c>
      <c r="AB6" s="36"/>
      <c r="AC6" s="37"/>
      <c r="AE6" s="35" t="s">
        <v>40</v>
      </c>
      <c r="AF6" s="36">
        <v>4</v>
      </c>
      <c r="AG6" s="36">
        <v>0.2</v>
      </c>
      <c r="AH6" s="36"/>
      <c r="AI6" s="37"/>
    </row>
    <row r="7" spans="1:35">
      <c r="A7" s="35" t="s">
        <v>41</v>
      </c>
      <c r="B7" s="36"/>
      <c r="C7" s="36">
        <f>0.4/3</f>
        <v>0.13333333333333333</v>
      </c>
      <c r="D7" s="36"/>
      <c r="E7" s="37"/>
      <c r="G7" s="35" t="s">
        <v>41</v>
      </c>
      <c r="H7" s="36"/>
      <c r="I7" s="38">
        <v>0.2</v>
      </c>
      <c r="J7" s="36"/>
      <c r="K7" s="37"/>
      <c r="M7" s="35" t="s">
        <v>107</v>
      </c>
      <c r="N7" s="45">
        <f>MAX(N5:N6)</f>
        <v>0</v>
      </c>
      <c r="O7" s="36">
        <v>0.05</v>
      </c>
      <c r="P7" s="43"/>
      <c r="Q7" s="44"/>
      <c r="S7" s="35" t="s">
        <v>79</v>
      </c>
      <c r="T7" s="36">
        <v>4</v>
      </c>
      <c r="U7" s="36">
        <v>0.02</v>
      </c>
      <c r="V7" s="36"/>
      <c r="W7" s="37"/>
      <c r="Y7" s="35" t="s">
        <v>120</v>
      </c>
      <c r="Z7" s="36"/>
      <c r="AA7" s="36">
        <f t="shared" si="0"/>
        <v>4.2857142857142858E-2</v>
      </c>
      <c r="AB7" s="36"/>
      <c r="AC7" s="37"/>
      <c r="AE7" s="35" t="s">
        <v>41</v>
      </c>
      <c r="AF7" s="36">
        <v>4</v>
      </c>
      <c r="AG7" s="36">
        <v>0.2</v>
      </c>
      <c r="AH7" s="36"/>
      <c r="AI7" s="37"/>
    </row>
    <row r="8" spans="1:35">
      <c r="A8" s="35" t="s">
        <v>42</v>
      </c>
      <c r="B8" s="36"/>
      <c r="C8" s="36">
        <v>0.15</v>
      </c>
      <c r="D8" s="36"/>
      <c r="E8" s="37"/>
      <c r="G8" s="35" t="s">
        <v>42</v>
      </c>
      <c r="H8" s="36"/>
      <c r="I8" s="38">
        <v>0.2</v>
      </c>
      <c r="J8" s="36"/>
      <c r="K8" s="37"/>
      <c r="M8" s="35" t="s">
        <v>46</v>
      </c>
      <c r="N8" s="36"/>
      <c r="O8" s="36">
        <v>0.2</v>
      </c>
      <c r="P8" s="36"/>
      <c r="Q8" s="37"/>
      <c r="S8" s="35" t="s">
        <v>80</v>
      </c>
      <c r="T8" s="36"/>
      <c r="U8" s="36">
        <v>0.02</v>
      </c>
      <c r="V8" s="36"/>
      <c r="W8" s="37"/>
      <c r="Y8" s="35" t="s">
        <v>121</v>
      </c>
      <c r="Z8" s="36"/>
      <c r="AA8" s="36">
        <f t="shared" si="0"/>
        <v>4.2857142857142858E-2</v>
      </c>
      <c r="AB8" s="36"/>
      <c r="AC8" s="37"/>
      <c r="AE8" s="35" t="s">
        <v>181</v>
      </c>
      <c r="AF8" s="36">
        <v>4</v>
      </c>
      <c r="AG8" s="36">
        <f t="shared" ref="AG8:AG15" si="1">0.35/9</f>
        <v>3.888888888888889E-2</v>
      </c>
      <c r="AH8" s="36"/>
      <c r="AI8" s="37"/>
    </row>
    <row r="9" spans="1:35">
      <c r="A9" s="35" t="s">
        <v>111</v>
      </c>
      <c r="B9" s="36"/>
      <c r="C9" s="36">
        <f>0.1/3</f>
        <v>3.3333333333333333E-2</v>
      </c>
      <c r="D9" s="36"/>
      <c r="E9" s="37"/>
      <c r="G9" s="35" t="s">
        <v>43</v>
      </c>
      <c r="H9" s="36"/>
      <c r="I9" s="38">
        <v>0.2</v>
      </c>
      <c r="J9" s="36"/>
      <c r="K9" s="37"/>
      <c r="M9" s="35" t="s">
        <v>47</v>
      </c>
      <c r="N9" s="36"/>
      <c r="O9" s="36">
        <v>0.15</v>
      </c>
      <c r="P9" s="36"/>
      <c r="Q9" s="37"/>
      <c r="S9" s="35" t="s">
        <v>81</v>
      </c>
      <c r="T9" s="36"/>
      <c r="U9" s="36">
        <v>0.02</v>
      </c>
      <c r="V9" s="36"/>
      <c r="W9" s="37"/>
      <c r="Y9" s="35" t="s">
        <v>122</v>
      </c>
      <c r="Z9" s="36"/>
      <c r="AA9" s="36">
        <f t="shared" si="0"/>
        <v>4.2857142857142858E-2</v>
      </c>
      <c r="AB9" s="36"/>
      <c r="AC9" s="37"/>
      <c r="AE9" s="35" t="s">
        <v>182</v>
      </c>
      <c r="AF9" s="36">
        <v>4</v>
      </c>
      <c r="AG9" s="36">
        <f t="shared" si="1"/>
        <v>3.888888888888889E-2</v>
      </c>
      <c r="AH9" s="36"/>
      <c r="AI9" s="37"/>
    </row>
    <row r="10" spans="1:35">
      <c r="A10" s="35" t="s">
        <v>112</v>
      </c>
      <c r="B10" s="36"/>
      <c r="C10" s="36">
        <f>0.1/3</f>
        <v>3.3333333333333333E-2</v>
      </c>
      <c r="D10" s="36"/>
      <c r="E10" s="37"/>
      <c r="G10" s="35"/>
      <c r="H10" s="36"/>
      <c r="I10" s="36"/>
      <c r="J10" s="36"/>
      <c r="K10" s="37"/>
      <c r="M10" s="35" t="s">
        <v>42</v>
      </c>
      <c r="N10" s="36"/>
      <c r="O10" s="36">
        <v>0.45</v>
      </c>
      <c r="P10" s="36"/>
      <c r="Q10" s="37"/>
      <c r="S10" s="35" t="s">
        <v>82</v>
      </c>
      <c r="T10" s="36"/>
      <c r="U10" s="38">
        <v>0.02</v>
      </c>
      <c r="V10" s="36"/>
      <c r="W10" s="37"/>
      <c r="Y10" s="35" t="s">
        <v>123</v>
      </c>
      <c r="Z10" s="36"/>
      <c r="AA10" s="36">
        <f t="shared" si="0"/>
        <v>4.2857142857142858E-2</v>
      </c>
      <c r="AB10" s="36"/>
      <c r="AC10" s="37"/>
      <c r="AE10" s="35" t="s">
        <v>183</v>
      </c>
      <c r="AF10" s="36">
        <v>4</v>
      </c>
      <c r="AG10" s="36">
        <f t="shared" si="1"/>
        <v>3.888888888888889E-2</v>
      </c>
      <c r="AH10" s="36"/>
      <c r="AI10" s="37"/>
    </row>
    <row r="11" spans="1:35" ht="16" thickBot="1">
      <c r="A11" s="35" t="s">
        <v>113</v>
      </c>
      <c r="B11" s="36"/>
      <c r="C11" s="36">
        <f>0.1/3</f>
        <v>3.3333333333333333E-2</v>
      </c>
      <c r="D11" s="36"/>
      <c r="E11" s="37"/>
      <c r="G11" s="41" t="s">
        <v>72</v>
      </c>
      <c r="H11" s="42">
        <f>SUMPRODUCT(H5:H9,I5:I9)</f>
        <v>0.8</v>
      </c>
      <c r="I11" s="39"/>
      <c r="J11" s="39">
        <f>SUMPRODUCT(I5:I9,J5:J9)</f>
        <v>0</v>
      </c>
      <c r="K11" s="40">
        <f>SUMPRODUCT(I5:I9,K5:K9)</f>
        <v>0</v>
      </c>
      <c r="M11" s="35" t="s">
        <v>105</v>
      </c>
      <c r="N11" s="36"/>
      <c r="O11" s="36">
        <f>0.15*6/35</f>
        <v>2.571428571428571E-2</v>
      </c>
      <c r="P11" s="36"/>
      <c r="Q11" s="37"/>
      <c r="S11" s="35" t="s">
        <v>83</v>
      </c>
      <c r="T11" s="36"/>
      <c r="U11" s="38">
        <v>0.02</v>
      </c>
      <c r="V11" s="36"/>
      <c r="W11" s="37"/>
      <c r="Y11" s="35" t="s">
        <v>124</v>
      </c>
      <c r="Z11" s="36"/>
      <c r="AA11" s="36">
        <f t="shared" si="0"/>
        <v>4.2857142857142858E-2</v>
      </c>
      <c r="AB11" s="36"/>
      <c r="AC11" s="37"/>
      <c r="AE11" s="35" t="s">
        <v>184</v>
      </c>
      <c r="AF11" s="48">
        <v>4</v>
      </c>
      <c r="AG11" s="36">
        <f t="shared" si="1"/>
        <v>3.888888888888889E-2</v>
      </c>
      <c r="AH11" s="36"/>
      <c r="AI11" s="37"/>
    </row>
    <row r="12" spans="1:35">
      <c r="A12" s="35" t="s">
        <v>114</v>
      </c>
      <c r="B12" s="36"/>
      <c r="C12" s="36">
        <f>0.35/2</f>
        <v>0.17499999999999999</v>
      </c>
      <c r="D12" s="36"/>
      <c r="E12" s="37"/>
      <c r="M12" s="35" t="s">
        <v>106</v>
      </c>
      <c r="N12" s="36"/>
      <c r="O12" s="36">
        <f>0.15*6/35</f>
        <v>2.571428571428571E-2</v>
      </c>
      <c r="P12" s="36"/>
      <c r="Q12" s="37"/>
      <c r="S12" s="35" t="s">
        <v>84</v>
      </c>
      <c r="T12" s="36"/>
      <c r="U12" s="38">
        <v>0.02</v>
      </c>
      <c r="V12" s="36"/>
      <c r="W12" s="37"/>
      <c r="Y12" s="35" t="s">
        <v>75</v>
      </c>
      <c r="Z12" s="36">
        <v>4</v>
      </c>
      <c r="AA12" s="36">
        <f>0.1</f>
        <v>0.1</v>
      </c>
      <c r="AB12" s="36"/>
      <c r="AC12" s="37"/>
      <c r="AE12" s="35" t="s">
        <v>185</v>
      </c>
      <c r="AF12" s="48">
        <v>4</v>
      </c>
      <c r="AG12" s="36">
        <f t="shared" si="1"/>
        <v>3.888888888888889E-2</v>
      </c>
      <c r="AH12" s="36"/>
      <c r="AI12" s="37"/>
    </row>
    <row r="13" spans="1:35">
      <c r="A13" s="49" t="s">
        <v>115</v>
      </c>
      <c r="B13" s="48"/>
      <c r="C13" s="36">
        <f>0.35/2</f>
        <v>0.17499999999999999</v>
      </c>
      <c r="D13" s="48"/>
      <c r="E13" s="50"/>
      <c r="M13" s="35" t="s">
        <v>103</v>
      </c>
      <c r="N13" s="36"/>
      <c r="O13" s="36">
        <f>0.15*6/35</f>
        <v>2.571428571428571E-2</v>
      </c>
      <c r="P13" s="36"/>
      <c r="Q13" s="37"/>
      <c r="S13" s="35" t="s">
        <v>85</v>
      </c>
      <c r="T13" s="36"/>
      <c r="U13" s="38">
        <v>0.02</v>
      </c>
      <c r="V13" s="36"/>
      <c r="W13" s="37"/>
      <c r="Y13" s="35" t="s">
        <v>76</v>
      </c>
      <c r="Z13" s="36"/>
      <c r="AA13" s="36">
        <f>0.1</f>
        <v>0.1</v>
      </c>
      <c r="AB13" s="36"/>
      <c r="AC13" s="37"/>
      <c r="AE13" s="35" t="s">
        <v>186</v>
      </c>
      <c r="AF13" s="48">
        <v>4</v>
      </c>
      <c r="AG13" s="36">
        <f t="shared" si="1"/>
        <v>3.888888888888889E-2</v>
      </c>
      <c r="AH13" s="36"/>
      <c r="AI13" s="37"/>
    </row>
    <row r="14" spans="1:35">
      <c r="A14" s="49" t="s">
        <v>116</v>
      </c>
      <c r="B14" s="36"/>
      <c r="C14" s="36"/>
      <c r="D14" s="36"/>
      <c r="E14" s="37"/>
      <c r="G14" t="s">
        <v>95</v>
      </c>
      <c r="H14" t="s">
        <v>69</v>
      </c>
      <c r="I14" t="s">
        <v>97</v>
      </c>
      <c r="M14" s="35" t="s">
        <v>104</v>
      </c>
      <c r="N14" s="36"/>
      <c r="O14" s="36">
        <f>0.15*5/35</f>
        <v>2.1428571428571429E-2</v>
      </c>
      <c r="P14" s="36"/>
      <c r="Q14" s="37"/>
      <c r="S14" s="35" t="s">
        <v>86</v>
      </c>
      <c r="T14" s="36"/>
      <c r="U14" s="38">
        <v>0.02</v>
      </c>
      <c r="V14" s="36"/>
      <c r="W14" s="37"/>
      <c r="Y14" s="35" t="s">
        <v>77</v>
      </c>
      <c r="Z14" s="36"/>
      <c r="AA14" s="36">
        <f>0.1</f>
        <v>0.1</v>
      </c>
      <c r="AB14" s="36"/>
      <c r="AC14" s="37"/>
      <c r="AE14" s="35" t="s">
        <v>187</v>
      </c>
      <c r="AF14" s="48">
        <v>4</v>
      </c>
      <c r="AG14" s="36">
        <f t="shared" si="1"/>
        <v>3.888888888888889E-2</v>
      </c>
      <c r="AH14" s="36"/>
      <c r="AI14" s="37"/>
    </row>
    <row r="15" spans="1:35">
      <c r="A15" s="35"/>
      <c r="B15" s="36"/>
      <c r="C15" s="36"/>
      <c r="D15" s="36"/>
      <c r="E15" s="37"/>
      <c r="G15" t="s">
        <v>109</v>
      </c>
      <c r="H15">
        <f>AVERAGE(H5:H8)</f>
        <v>4</v>
      </c>
      <c r="I15" t="str">
        <f>IF(H15&gt;=3.95,"SI","NO")</f>
        <v>SI</v>
      </c>
      <c r="M15" s="35" t="s">
        <v>98</v>
      </c>
      <c r="N15" s="36"/>
      <c r="O15" s="36">
        <f>0.15*4/35</f>
        <v>1.7142857142857144E-2</v>
      </c>
      <c r="P15" s="36"/>
      <c r="Q15" s="37"/>
      <c r="S15" s="35" t="s">
        <v>87</v>
      </c>
      <c r="T15" s="36"/>
      <c r="U15" s="38">
        <v>0.02</v>
      </c>
      <c r="V15" s="36"/>
      <c r="W15" s="37"/>
      <c r="Y15" s="35" t="s">
        <v>78</v>
      </c>
      <c r="Z15" s="36"/>
      <c r="AA15" s="36">
        <f>0.1</f>
        <v>0.1</v>
      </c>
      <c r="AB15" s="36"/>
      <c r="AC15" s="37"/>
      <c r="AE15" s="35" t="s">
        <v>188</v>
      </c>
      <c r="AF15" s="48">
        <v>4</v>
      </c>
      <c r="AG15" s="36">
        <f t="shared" si="1"/>
        <v>3.888888888888889E-2</v>
      </c>
      <c r="AH15" s="36"/>
      <c r="AI15" s="37"/>
    </row>
    <row r="16" spans="1:35" ht="16" thickBot="1">
      <c r="A16" s="41" t="s">
        <v>72</v>
      </c>
      <c r="B16" s="42">
        <f>SUMPRODUCT(B5:B13,C5:C13)+B14</f>
        <v>0</v>
      </c>
      <c r="C16" s="39"/>
      <c r="D16" s="39">
        <f>SUMPRODUCT(C5:C13,D5:D13)</f>
        <v>0</v>
      </c>
      <c r="E16" s="40">
        <f>SUMPRODUCT(C5:C13,E5:E13)</f>
        <v>0</v>
      </c>
      <c r="G16" t="s">
        <v>110</v>
      </c>
      <c r="H16">
        <f>H9</f>
        <v>0</v>
      </c>
      <c r="I16" t="str">
        <f>IF(H16&gt;=3.95,"SI","NO")</f>
        <v>NO</v>
      </c>
      <c r="M16" s="35" t="s">
        <v>99</v>
      </c>
      <c r="N16" s="36"/>
      <c r="O16" s="36">
        <f>0.15*4/35</f>
        <v>1.7142857142857144E-2</v>
      </c>
      <c r="P16" s="36"/>
      <c r="Q16" s="37"/>
      <c r="S16" s="35" t="s">
        <v>88</v>
      </c>
      <c r="T16" s="36"/>
      <c r="U16" s="38">
        <v>0.02</v>
      </c>
      <c r="V16" s="36"/>
      <c r="W16" s="37"/>
      <c r="Y16" s="35" t="s">
        <v>125</v>
      </c>
      <c r="Z16" s="36">
        <v>4</v>
      </c>
      <c r="AA16" s="36">
        <f>0.2/6</f>
        <v>3.3333333333333333E-2</v>
      </c>
      <c r="AB16" s="36"/>
      <c r="AC16" s="37"/>
      <c r="AE16" s="35" t="s">
        <v>189</v>
      </c>
      <c r="AF16" s="48">
        <v>4</v>
      </c>
      <c r="AG16" s="36">
        <f>0.35/9</f>
        <v>3.888888888888889E-2</v>
      </c>
      <c r="AH16" s="36"/>
      <c r="AI16" s="37"/>
    </row>
    <row r="17" spans="13:35">
      <c r="M17" s="35" t="s">
        <v>100</v>
      </c>
      <c r="N17" s="36"/>
      <c r="O17" s="36">
        <f>0.15*4/35</f>
        <v>1.7142857142857144E-2</v>
      </c>
      <c r="P17" s="36"/>
      <c r="Q17" s="37"/>
      <c r="S17" s="35" t="s">
        <v>89</v>
      </c>
      <c r="T17" s="36"/>
      <c r="U17" s="38">
        <v>0.02</v>
      </c>
      <c r="V17" s="36"/>
      <c r="W17" s="37"/>
      <c r="Y17" s="35" t="s">
        <v>126</v>
      </c>
      <c r="Z17" s="36"/>
      <c r="AA17" s="36">
        <f>0.2/6</f>
        <v>3.3333333333333333E-2</v>
      </c>
      <c r="AB17" s="36"/>
      <c r="AC17" s="37"/>
      <c r="AE17" s="35" t="s">
        <v>190</v>
      </c>
      <c r="AF17" s="36"/>
      <c r="AG17" s="36">
        <v>0.05</v>
      </c>
      <c r="AH17" s="36"/>
      <c r="AI17" s="37"/>
    </row>
    <row r="18" spans="13:35">
      <c r="M18" s="35" t="s">
        <v>101</v>
      </c>
      <c r="N18" s="45">
        <f>SUM(N11:N17)</f>
        <v>0</v>
      </c>
      <c r="O18" s="36"/>
      <c r="P18" s="43"/>
      <c r="Q18" s="44"/>
      <c r="S18" s="35" t="s">
        <v>90</v>
      </c>
      <c r="T18" s="36"/>
      <c r="U18" s="38">
        <v>0.02</v>
      </c>
      <c r="V18" s="36"/>
      <c r="W18" s="37"/>
      <c r="Y18" s="35" t="s">
        <v>127</v>
      </c>
      <c r="Z18" s="36"/>
      <c r="AA18" s="36">
        <f>0.2/6</f>
        <v>3.3333333333333333E-2</v>
      </c>
      <c r="AB18" s="36"/>
      <c r="AC18" s="37"/>
      <c r="AE18" s="35" t="s">
        <v>191</v>
      </c>
      <c r="AF18" s="48">
        <v>4</v>
      </c>
      <c r="AG18" s="36"/>
      <c r="AH18" s="36"/>
      <c r="AI18" s="37"/>
    </row>
    <row r="19" spans="13:35">
      <c r="M19" s="35" t="s">
        <v>102</v>
      </c>
      <c r="N19" s="45">
        <f>VLOOKUP(N18,'Remote learning'!A1:B36,2)</f>
        <v>1</v>
      </c>
      <c r="O19" s="36">
        <v>0.15</v>
      </c>
      <c r="P19" s="43"/>
      <c r="Q19" s="44"/>
      <c r="S19" s="35" t="s">
        <v>91</v>
      </c>
      <c r="T19" s="36"/>
      <c r="U19" s="38">
        <v>0.02</v>
      </c>
      <c r="V19" s="36"/>
      <c r="W19" s="37"/>
      <c r="Y19" s="35" t="s">
        <v>128</v>
      </c>
      <c r="Z19" s="36"/>
      <c r="AA19" s="36">
        <f>0.2/6</f>
        <v>3.3333333333333333E-2</v>
      </c>
      <c r="AB19" s="36"/>
      <c r="AC19" s="37"/>
      <c r="AE19" s="35" t="s">
        <v>192</v>
      </c>
      <c r="AF19" s="91">
        <f>((AF5+AF6+AF7+AF18)-MIN(AF5:AF7,AF18))/3</f>
        <v>4</v>
      </c>
      <c r="AG19" s="91">
        <v>0.6</v>
      </c>
      <c r="AH19" s="43"/>
      <c r="AI19" s="44"/>
    </row>
    <row r="20" spans="13:35">
      <c r="M20" s="35"/>
      <c r="N20" s="36"/>
      <c r="O20" s="36"/>
      <c r="P20" s="36"/>
      <c r="Q20" s="37"/>
      <c r="S20" s="35" t="s">
        <v>92</v>
      </c>
      <c r="T20" s="36"/>
      <c r="U20" s="38">
        <v>0.02</v>
      </c>
      <c r="V20" s="36"/>
      <c r="W20" s="37"/>
      <c r="Y20" s="35" t="s">
        <v>42</v>
      </c>
      <c r="Z20" s="36"/>
      <c r="AA20" s="36">
        <f>0.2/3</f>
        <v>6.6666666666666666E-2</v>
      </c>
      <c r="AB20" s="36"/>
      <c r="AC20" s="37"/>
      <c r="AE20" s="35" t="s">
        <v>193</v>
      </c>
      <c r="AF20" s="91">
        <f>(SUM(AF8:AF16)-SMALL(AF8:AF16,2)-MIN(AF8:AF16))/7</f>
        <v>4</v>
      </c>
      <c r="AG20" s="91">
        <v>0.35</v>
      </c>
      <c r="AH20" s="43"/>
      <c r="AI20" s="44"/>
    </row>
    <row r="21" spans="13:35" ht="16" thickBot="1">
      <c r="M21" s="41" t="s">
        <v>72</v>
      </c>
      <c r="N21" s="42">
        <f>SUMPRODUCT(N7:N10,O7:O10)+N19*O19</f>
        <v>0.15</v>
      </c>
      <c r="O21" s="39"/>
      <c r="P21" s="39">
        <f>SUMPRODUCT(O5:O19,P5:P19)</f>
        <v>0</v>
      </c>
      <c r="Q21" s="40">
        <f>SUMPRODUCT(O5:O19,Q5:Q19)</f>
        <v>0</v>
      </c>
      <c r="S21" s="35" t="s">
        <v>93</v>
      </c>
      <c r="T21" s="36"/>
      <c r="U21" s="38">
        <v>0.02</v>
      </c>
      <c r="V21" s="36"/>
      <c r="W21" s="37"/>
      <c r="Y21" s="35" t="s">
        <v>129</v>
      </c>
      <c r="Z21" s="36">
        <v>4</v>
      </c>
      <c r="AA21" s="36">
        <v>0.1</v>
      </c>
      <c r="AB21" s="36"/>
      <c r="AC21" s="37"/>
      <c r="AE21" s="35" t="s">
        <v>194</v>
      </c>
      <c r="AF21" s="36">
        <f>IF((Asistencias!J4)/(Asistencias!J4+Asistencias!I4)&gt;=0.9,0.2,0)</f>
        <v>0</v>
      </c>
      <c r="AG21" s="36"/>
      <c r="AH21" s="36"/>
      <c r="AI21" s="37"/>
    </row>
    <row r="22" spans="13:35">
      <c r="S22" s="35" t="s">
        <v>94</v>
      </c>
      <c r="T22" s="36">
        <f>AVERAGE(T7:T21)</f>
        <v>4</v>
      </c>
      <c r="U22" s="38">
        <v>0.3</v>
      </c>
      <c r="V22" s="36"/>
      <c r="W22" s="37"/>
      <c r="Y22" s="35"/>
      <c r="Z22" s="36"/>
      <c r="AA22" s="36"/>
      <c r="AB22" s="36"/>
      <c r="AC22" s="37"/>
      <c r="AE22" s="35" t="s">
        <v>195</v>
      </c>
      <c r="AF22" s="36">
        <f>IF(Asistencias!J9&gt;=7,0.1,0)</f>
        <v>0</v>
      </c>
      <c r="AG22" s="36"/>
      <c r="AH22" s="36"/>
      <c r="AI22" s="37"/>
    </row>
    <row r="23" spans="13:35" ht="16" thickBot="1">
      <c r="S23" s="35"/>
      <c r="T23" s="36"/>
      <c r="U23" s="36"/>
      <c r="V23" s="36"/>
      <c r="W23" s="37"/>
      <c r="Y23" s="46" t="s">
        <v>72</v>
      </c>
      <c r="Z23" s="47">
        <f>SUMPRODUCT(Z5:Z21,$AA$5:$AA$21)</f>
        <v>1.1047619047619048</v>
      </c>
      <c r="AA23" s="39"/>
      <c r="AB23" s="51">
        <f>SUMPRODUCT(AB5:AB21,$AA$5:$AA$21)</f>
        <v>0</v>
      </c>
      <c r="AC23" s="52">
        <f>SUMPRODUCT(AC5:AC21,$AA$5:$AA$21)</f>
        <v>0</v>
      </c>
      <c r="AE23" s="35"/>
      <c r="AF23" s="36"/>
      <c r="AG23" s="36"/>
      <c r="AH23" s="36"/>
      <c r="AI23" s="37"/>
    </row>
    <row r="24" spans="13:35" ht="16" thickBot="1">
      <c r="S24" s="46" t="s">
        <v>72</v>
      </c>
      <c r="T24" s="47">
        <f>SUMPRODUCT(T5:T6,U5:U6)+T22*U22</f>
        <v>2.95</v>
      </c>
      <c r="U24" s="39"/>
      <c r="V24" s="39">
        <f>SUMPRODUCT(U5:U21,V5:V21)</f>
        <v>0</v>
      </c>
      <c r="W24" s="40">
        <f>SUMPRODUCT(U5:U21,W5:W21)</f>
        <v>0</v>
      </c>
      <c r="AE24" s="46" t="s">
        <v>72</v>
      </c>
      <c r="AF24" s="47">
        <f>AF19*AG19+AF20*AG20+AF17*AG17+AF21+AF22</f>
        <v>3.8</v>
      </c>
      <c r="AG24" s="39"/>
      <c r="AH24" s="39">
        <f>SUMPRODUCT(AG5:AG17,AH5:AH17)</f>
        <v>0</v>
      </c>
      <c r="AI24" s="40">
        <f>SUMPRODUCT(AG5:AG17,AI5:AI17)</f>
        <v>0</v>
      </c>
    </row>
    <row r="26" spans="13:35">
      <c r="Y26" t="s">
        <v>95</v>
      </c>
      <c r="Z26" t="s">
        <v>69</v>
      </c>
      <c r="AA26" t="s">
        <v>97</v>
      </c>
    </row>
    <row r="27" spans="13:35">
      <c r="S27" t="s">
        <v>95</v>
      </c>
      <c r="T27" t="s">
        <v>69</v>
      </c>
      <c r="U27" t="s">
        <v>97</v>
      </c>
      <c r="Y27" t="s">
        <v>130</v>
      </c>
      <c r="Z27">
        <f>AVERAGE(Z5:Z11)</f>
        <v>4</v>
      </c>
      <c r="AA27" t="str">
        <f>IF(Z27&gt;=3.95,"SI","NO")</f>
        <v>SI</v>
      </c>
      <c r="AE27" s="80" t="s">
        <v>95</v>
      </c>
      <c r="AF27" s="80" t="s">
        <v>69</v>
      </c>
      <c r="AG27" s="80" t="s">
        <v>97</v>
      </c>
    </row>
    <row r="28" spans="13:35">
      <c r="S28" t="s">
        <v>96</v>
      </c>
      <c r="T28">
        <f>(T5+T6)/2</f>
        <v>2.5</v>
      </c>
      <c r="U28" t="str">
        <f>IF(T28&gt;=3.95,"SI","NO")</f>
        <v>NO</v>
      </c>
      <c r="Y28" t="s">
        <v>131</v>
      </c>
      <c r="Z28">
        <f>AVERAGE(Z12:Z15)</f>
        <v>4</v>
      </c>
      <c r="AA28" t="str">
        <f>IF(Z28&gt;=3.95,"SI","NO")</f>
        <v>SI</v>
      </c>
      <c r="AE28" t="s">
        <v>196</v>
      </c>
      <c r="AF28">
        <f>AF19</f>
        <v>4</v>
      </c>
      <c r="AG28" s="80" t="str">
        <f>IF(AF28&gt;=3.95,"SI","NO")</f>
        <v>SI</v>
      </c>
    </row>
    <row r="29" spans="13:35">
      <c r="S29" t="s">
        <v>108</v>
      </c>
      <c r="T29">
        <f>T6</f>
        <v>0</v>
      </c>
      <c r="U29" t="str">
        <f>IF(T29&gt;=3,"SI","NO")</f>
        <v>NO</v>
      </c>
      <c r="Y29" t="s">
        <v>132</v>
      </c>
      <c r="Z29">
        <f>(SUM(Z16:Z20)+Z20-MIN(Z16:Z20))/5</f>
        <v>0</v>
      </c>
      <c r="AA29" t="str">
        <f>IF(Z29&gt;=3.95,"SI","NO")</f>
        <v>NO</v>
      </c>
      <c r="AE29" t="s">
        <v>197</v>
      </c>
      <c r="AF29">
        <f>AF20</f>
        <v>4</v>
      </c>
      <c r="AG29" s="80" t="str">
        <f>IF(AF29&gt;=3.95,"SI","NO")</f>
        <v>SI</v>
      </c>
    </row>
  </sheetData>
  <mergeCells count="6">
    <mergeCell ref="AE2:AI2"/>
    <mergeCell ref="S2:W2"/>
    <mergeCell ref="M2:Q2"/>
    <mergeCell ref="G2:K2"/>
    <mergeCell ref="A2:E2"/>
    <mergeCell ref="Y2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F22" workbookViewId="0">
      <selection activeCell="J30" sqref="J30"/>
    </sheetView>
  </sheetViews>
  <sheetFormatPr baseColWidth="10" defaultRowHeight="15" x14ac:dyDescent="0"/>
  <sheetData>
    <row r="1" spans="1:17">
      <c r="A1" t="s">
        <v>134</v>
      </c>
      <c r="D1" t="s">
        <v>13</v>
      </c>
      <c r="G1" t="s">
        <v>8</v>
      </c>
      <c r="J1" t="s">
        <v>14</v>
      </c>
      <c r="M1" t="s">
        <v>145</v>
      </c>
      <c r="P1" t="s">
        <v>4</v>
      </c>
    </row>
    <row r="3" spans="1:17">
      <c r="A3" t="s">
        <v>135</v>
      </c>
      <c r="D3" t="s">
        <v>135</v>
      </c>
      <c r="G3" t="s">
        <v>135</v>
      </c>
      <c r="J3" t="s">
        <v>135</v>
      </c>
      <c r="M3" t="s">
        <v>135</v>
      </c>
      <c r="P3" s="80" t="s">
        <v>135</v>
      </c>
      <c r="Q3" s="80"/>
    </row>
    <row r="4" spans="1:17">
      <c r="P4" s="80"/>
      <c r="Q4" s="80"/>
    </row>
    <row r="5" spans="1:17">
      <c r="A5" t="s">
        <v>136</v>
      </c>
      <c r="B5">
        <f>Notas!D16</f>
        <v>0</v>
      </c>
      <c r="D5" t="s">
        <v>136</v>
      </c>
      <c r="E5">
        <f>SUMPRODUCT(Notas!I5:I8,Notas!J5:J8)</f>
        <v>0</v>
      </c>
      <c r="G5" t="s">
        <v>136</v>
      </c>
      <c r="H5">
        <f>Notas!P21</f>
        <v>0</v>
      </c>
      <c r="J5" t="s">
        <v>136</v>
      </c>
      <c r="K5">
        <f>0.35*(Notas!V5+Notas!V6)</f>
        <v>0</v>
      </c>
      <c r="M5" t="s">
        <v>136</v>
      </c>
      <c r="N5">
        <f>SUMPRODUCT(Notas!AB5:AB11)</f>
        <v>0</v>
      </c>
      <c r="P5" s="80" t="s">
        <v>136</v>
      </c>
      <c r="Q5" s="80">
        <f>0.2*SUM(Notas!AH5:AH7)</f>
        <v>0</v>
      </c>
    </row>
    <row r="6" spans="1:17">
      <c r="A6" t="s">
        <v>137</v>
      </c>
      <c r="B6">
        <f>1-B5</f>
        <v>1</v>
      </c>
      <c r="D6" t="s">
        <v>137</v>
      </c>
      <c r="E6">
        <f>0.8-E5</f>
        <v>0.8</v>
      </c>
      <c r="G6" t="s">
        <v>137</v>
      </c>
      <c r="H6">
        <f>1-H5</f>
        <v>1</v>
      </c>
      <c r="J6" t="s">
        <v>137</v>
      </c>
      <c r="K6">
        <f>0.7-K5</f>
        <v>0.7</v>
      </c>
      <c r="M6" t="s">
        <v>137</v>
      </c>
      <c r="N6">
        <f>0.3-N5</f>
        <v>0.3</v>
      </c>
      <c r="P6" s="80" t="s">
        <v>137</v>
      </c>
      <c r="Q6" s="80">
        <f>0.6-Q5</f>
        <v>0.6</v>
      </c>
    </row>
    <row r="7" spans="1:17">
      <c r="A7" t="s">
        <v>138</v>
      </c>
      <c r="B7">
        <f>Notas!B16</f>
        <v>0</v>
      </c>
      <c r="D7" t="s">
        <v>138</v>
      </c>
      <c r="E7">
        <f>AVERAGE(Notas!H5:H8)</f>
        <v>4</v>
      </c>
      <c r="G7" t="s">
        <v>138</v>
      </c>
      <c r="H7">
        <f>Notas!N21</f>
        <v>0.15</v>
      </c>
      <c r="J7" t="s">
        <v>138</v>
      </c>
      <c r="K7">
        <f>AVERAGE(Notas!T5:T6)</f>
        <v>5</v>
      </c>
      <c r="M7" t="s">
        <v>138</v>
      </c>
      <c r="N7">
        <f>AVERAGE(Notas!Z5:Z11)</f>
        <v>4</v>
      </c>
      <c r="P7" s="80" t="s">
        <v>138</v>
      </c>
      <c r="Q7" s="80">
        <f>AVERAGE(Notas!AF5:AF7)</f>
        <v>4</v>
      </c>
    </row>
    <row r="8" spans="1:17">
      <c r="A8" t="s">
        <v>139</v>
      </c>
      <c r="B8">
        <f>((B9*(B5+B6))-(B5*B7))/(B6)</f>
        <v>3.95</v>
      </c>
      <c r="D8" t="s">
        <v>139</v>
      </c>
      <c r="E8">
        <f>((E9*(E5+E6))-(E5*E7))/(E6)</f>
        <v>3.95</v>
      </c>
      <c r="G8" t="s">
        <v>139</v>
      </c>
      <c r="H8">
        <f>((H9*(H5+H6))-(H5*H7))/(H6)</f>
        <v>3.95</v>
      </c>
      <c r="J8" t="s">
        <v>139</v>
      </c>
      <c r="K8">
        <f>((K9*(K5+K6))-(K5*K7))/(K6)</f>
        <v>3.9500000000000006</v>
      </c>
      <c r="M8" t="s">
        <v>139</v>
      </c>
      <c r="N8">
        <f>((N9*(N5+N6))-(N5*N7))/(N6)</f>
        <v>3.95</v>
      </c>
      <c r="P8" s="80" t="s">
        <v>139</v>
      </c>
      <c r="Q8" s="80">
        <f>((Q9*(Q5+Q6))-(Q5*Q7))/(Q6)</f>
        <v>3.95</v>
      </c>
    </row>
    <row r="9" spans="1:17">
      <c r="A9" t="s">
        <v>140</v>
      </c>
      <c r="B9">
        <v>3.95</v>
      </c>
      <c r="D9" t="s">
        <v>140</v>
      </c>
      <c r="E9">
        <v>3.95</v>
      </c>
      <c r="G9" t="s">
        <v>140</v>
      </c>
      <c r="H9">
        <v>3.95</v>
      </c>
      <c r="J9" t="s">
        <v>140</v>
      </c>
      <c r="K9">
        <v>3.95</v>
      </c>
      <c r="M9" t="s">
        <v>140</v>
      </c>
      <c r="N9">
        <v>3.95</v>
      </c>
      <c r="P9" s="80" t="s">
        <v>140</v>
      </c>
      <c r="Q9" s="80">
        <v>3.95</v>
      </c>
    </row>
    <row r="10" spans="1:17">
      <c r="P10" s="80"/>
      <c r="Q10" s="80"/>
    </row>
    <row r="11" spans="1:17">
      <c r="A11" t="s">
        <v>141</v>
      </c>
      <c r="B11">
        <f>B8-1</f>
        <v>2.95</v>
      </c>
      <c r="D11" t="s">
        <v>141</v>
      </c>
      <c r="E11">
        <f>E8-1</f>
        <v>2.95</v>
      </c>
      <c r="G11" t="s">
        <v>141</v>
      </c>
      <c r="H11">
        <f>H8-1</f>
        <v>2.95</v>
      </c>
      <c r="J11" t="s">
        <v>141</v>
      </c>
      <c r="K11">
        <f>K8-1</f>
        <v>2.9500000000000006</v>
      </c>
      <c r="M11" t="s">
        <v>141</v>
      </c>
      <c r="N11">
        <f>N8-1</f>
        <v>2.95</v>
      </c>
      <c r="P11" s="80" t="s">
        <v>141</v>
      </c>
      <c r="Q11" s="80">
        <f>Q8-1</f>
        <v>2.95</v>
      </c>
    </row>
    <row r="12" spans="1:17">
      <c r="A12" t="s">
        <v>142</v>
      </c>
      <c r="B12">
        <f>B11*B6</f>
        <v>2.95</v>
      </c>
      <c r="D12" t="s">
        <v>142</v>
      </c>
      <c r="E12">
        <f>E11*E6</f>
        <v>2.3600000000000003</v>
      </c>
      <c r="G12" t="s">
        <v>142</v>
      </c>
      <c r="H12">
        <f>H11*H6</f>
        <v>2.95</v>
      </c>
      <c r="J12" t="s">
        <v>142</v>
      </c>
      <c r="K12">
        <f>K11*K6</f>
        <v>2.0650000000000004</v>
      </c>
      <c r="M12" t="s">
        <v>142</v>
      </c>
      <c r="N12">
        <f>N11*N6</f>
        <v>0.88500000000000001</v>
      </c>
      <c r="P12" s="80" t="s">
        <v>142</v>
      </c>
      <c r="Q12" s="80">
        <f>Q11*Q6</f>
        <v>1.77</v>
      </c>
    </row>
    <row r="13" spans="1:17">
      <c r="P13" s="80"/>
      <c r="Q13" s="80"/>
    </row>
    <row r="14" spans="1:17">
      <c r="D14" t="s">
        <v>143</v>
      </c>
      <c r="J14" t="s">
        <v>143</v>
      </c>
      <c r="M14" t="s">
        <v>143</v>
      </c>
      <c r="P14" s="92" t="s">
        <v>143</v>
      </c>
      <c r="Q14" s="92"/>
    </row>
    <row r="15" spans="1:17">
      <c r="P15" s="92"/>
      <c r="Q15" s="92"/>
    </row>
    <row r="16" spans="1:17">
      <c r="D16" t="s">
        <v>136</v>
      </c>
      <c r="E16">
        <f>0.2*Notas!J9</f>
        <v>0</v>
      </c>
      <c r="J16" t="s">
        <v>136</v>
      </c>
      <c r="K16">
        <f>SUMPRODUCT(Notas!U7:U21,Notas!V7:V21)</f>
        <v>0</v>
      </c>
      <c r="M16" t="s">
        <v>136</v>
      </c>
      <c r="N16">
        <f>SUMPRODUCT(Notas!AA12:AA15,Notas!AB12:AB15)</f>
        <v>0</v>
      </c>
      <c r="P16" s="92" t="s">
        <v>136</v>
      </c>
      <c r="Q16" s="92">
        <f>0.35*SUM(Notas!AH8:AH16)/9</f>
        <v>0</v>
      </c>
    </row>
    <row r="17" spans="1:17">
      <c r="D17" t="s">
        <v>137</v>
      </c>
      <c r="E17">
        <f>0.2-E16</f>
        <v>0.2</v>
      </c>
      <c r="J17" t="s">
        <v>137</v>
      </c>
      <c r="K17">
        <f>0.3-K16</f>
        <v>0.3</v>
      </c>
      <c r="M17" t="s">
        <v>137</v>
      </c>
      <c r="N17">
        <f>0.4-N16</f>
        <v>0.4</v>
      </c>
      <c r="P17" s="92" t="s">
        <v>137</v>
      </c>
      <c r="Q17" s="92">
        <f>0.35-Q16</f>
        <v>0.35</v>
      </c>
    </row>
    <row r="18" spans="1:17">
      <c r="D18" t="s">
        <v>138</v>
      </c>
      <c r="E18">
        <f>Notas!H9</f>
        <v>0</v>
      </c>
      <c r="J18" t="s">
        <v>138</v>
      </c>
      <c r="K18">
        <f>AVERAGE(Notas!T7:T21)</f>
        <v>4</v>
      </c>
      <c r="M18" t="s">
        <v>138</v>
      </c>
      <c r="N18">
        <f>AVERAGE(Notas!Z12:Z15)</f>
        <v>4</v>
      </c>
      <c r="P18" s="92" t="s">
        <v>138</v>
      </c>
      <c r="Q18" s="92">
        <f>Notas!AF20</f>
        <v>4</v>
      </c>
    </row>
    <row r="19" spans="1:17">
      <c r="D19" t="s">
        <v>139</v>
      </c>
      <c r="E19">
        <f>((E20*(E16+E17))-(E16*E18))/(E17)</f>
        <v>3.95</v>
      </c>
      <c r="J19" t="s">
        <v>139</v>
      </c>
      <c r="K19">
        <f>((K20*(K16+K17))-(K16*K18))/(K17)</f>
        <v>1.5000000000000007</v>
      </c>
      <c r="M19" t="s">
        <v>139</v>
      </c>
      <c r="N19">
        <f>((N20*(N16+N17))-(N16*N18))/(N17)</f>
        <v>3.95</v>
      </c>
      <c r="P19" s="92" t="s">
        <v>139</v>
      </c>
      <c r="Q19" s="92">
        <f>((Q20*(Q16+Q17))-(Q16*Q18))/(Q17)</f>
        <v>3.9500000000000006</v>
      </c>
    </row>
    <row r="20" spans="1:17">
      <c r="D20" t="s">
        <v>140</v>
      </c>
      <c r="E20">
        <v>3.95</v>
      </c>
      <c r="J20" t="s">
        <v>140</v>
      </c>
      <c r="K20" s="92">
        <f>((3.95-0.7*AVERAGE(Notas!T5:T6))/(0.3))</f>
        <v>1.5000000000000007</v>
      </c>
      <c r="M20" t="s">
        <v>140</v>
      </c>
      <c r="N20">
        <v>3.95</v>
      </c>
      <c r="P20" s="92" t="s">
        <v>140</v>
      </c>
      <c r="Q20" s="92">
        <v>3.95</v>
      </c>
    </row>
    <row r="21" spans="1:17">
      <c r="P21" s="92"/>
      <c r="Q21" s="92"/>
    </row>
    <row r="22" spans="1:17">
      <c r="D22" t="s">
        <v>141</v>
      </c>
      <c r="E22">
        <f>E19-1</f>
        <v>2.95</v>
      </c>
      <c r="J22" t="s">
        <v>141</v>
      </c>
      <c r="K22">
        <f>K19-1</f>
        <v>0.50000000000000067</v>
      </c>
      <c r="M22" t="s">
        <v>141</v>
      </c>
      <c r="N22">
        <f>N19-1</f>
        <v>2.95</v>
      </c>
      <c r="P22" s="92" t="s">
        <v>141</v>
      </c>
      <c r="Q22" s="92">
        <f>Q19-1</f>
        <v>2.9500000000000006</v>
      </c>
    </row>
    <row r="23" spans="1:17">
      <c r="D23" t="s">
        <v>142</v>
      </c>
      <c r="E23">
        <f>E22*E17</f>
        <v>0.59000000000000008</v>
      </c>
      <c r="J23" t="s">
        <v>142</v>
      </c>
      <c r="K23">
        <f>K22*K17</f>
        <v>0.15000000000000019</v>
      </c>
      <c r="M23" t="s">
        <v>142</v>
      </c>
      <c r="N23">
        <f>N22*N17</f>
        <v>1.1800000000000002</v>
      </c>
      <c r="P23" s="92" t="s">
        <v>142</v>
      </c>
      <c r="Q23" s="92">
        <f>Q22*Q17</f>
        <v>1.0325000000000002</v>
      </c>
    </row>
    <row r="24" spans="1:17">
      <c r="P24" s="92"/>
      <c r="Q24" s="92"/>
    </row>
    <row r="25" spans="1:17">
      <c r="A25" t="s">
        <v>144</v>
      </c>
      <c r="B25">
        <f>B12</f>
        <v>2.95</v>
      </c>
      <c r="D25" t="s">
        <v>144</v>
      </c>
      <c r="E25">
        <f>E12+E23</f>
        <v>2.95</v>
      </c>
      <c r="G25" t="s">
        <v>144</v>
      </c>
      <c r="H25">
        <f>H12</f>
        <v>2.95</v>
      </c>
      <c r="J25" t="s">
        <v>144</v>
      </c>
      <c r="K25">
        <f>K12+K23</f>
        <v>2.2150000000000007</v>
      </c>
      <c r="M25" t="s">
        <v>146</v>
      </c>
      <c r="P25" s="92" t="s">
        <v>144</v>
      </c>
      <c r="Q25" s="92">
        <f>Q12+Q23</f>
        <v>2.8025000000000002</v>
      </c>
    </row>
    <row r="27" spans="1:17">
      <c r="M27" t="s">
        <v>136</v>
      </c>
      <c r="N27">
        <f>SUMPRODUCT(Notas!AA16:AA20,Notas!AB16:AB20)</f>
        <v>0</v>
      </c>
    </row>
    <row r="28" spans="1:17">
      <c r="M28" t="s">
        <v>137</v>
      </c>
      <c r="N28">
        <f>0.2-N27</f>
        <v>0.2</v>
      </c>
    </row>
    <row r="29" spans="1:17">
      <c r="M29" t="s">
        <v>138</v>
      </c>
      <c r="N29">
        <f>AVERAGE(Notas!Z16:Z20)</f>
        <v>4</v>
      </c>
    </row>
    <row r="30" spans="1:17">
      <c r="M30" t="s">
        <v>139</v>
      </c>
      <c r="N30">
        <f>((N31*(N27+N28))-(N27*N29))/(N28)</f>
        <v>3.95</v>
      </c>
    </row>
    <row r="31" spans="1:17">
      <c r="M31" t="s">
        <v>140</v>
      </c>
      <c r="N31">
        <v>3.95</v>
      </c>
    </row>
    <row r="33" spans="13:14">
      <c r="M33" t="s">
        <v>141</v>
      </c>
      <c r="N33">
        <f>N30-1</f>
        <v>2.95</v>
      </c>
    </row>
    <row r="34" spans="13:14">
      <c r="M34" t="s">
        <v>142</v>
      </c>
      <c r="N34">
        <f>N33*N28</f>
        <v>0.59000000000000008</v>
      </c>
    </row>
    <row r="36" spans="13:14">
      <c r="M36" t="s">
        <v>147</v>
      </c>
    </row>
    <row r="38" spans="13:14">
      <c r="M38" t="s">
        <v>136</v>
      </c>
      <c r="N38">
        <f>0.1*Notas!AB21</f>
        <v>0</v>
      </c>
    </row>
    <row r="39" spans="13:14">
      <c r="M39" t="s">
        <v>137</v>
      </c>
      <c r="N39">
        <f>0.1-N38</f>
        <v>0.1</v>
      </c>
    </row>
    <row r="40" spans="13:14">
      <c r="M40" t="s">
        <v>138</v>
      </c>
      <c r="N40">
        <f>Notas!Z21</f>
        <v>4</v>
      </c>
    </row>
    <row r="41" spans="13:14">
      <c r="M41" t="s">
        <v>139</v>
      </c>
      <c r="N41">
        <f>((N42*(N38+N39))-(N38*N40))/(N39)</f>
        <v>3.4999999999999987</v>
      </c>
    </row>
    <row r="42" spans="13:14">
      <c r="M42" t="s">
        <v>140</v>
      </c>
      <c r="N42">
        <f>(3.95-0.3*AVERAGE(Notas!Z5:Z11)-0.4*AVERAGE(Notas!Z12:Z15)-0.2*AVERAGE(Notas!Z16:Z20))/(0.1)</f>
        <v>3.4999999999999987</v>
      </c>
    </row>
    <row r="44" spans="13:14">
      <c r="M44" t="s">
        <v>141</v>
      </c>
      <c r="N44">
        <f>N41-1</f>
        <v>2.4999999999999987</v>
      </c>
    </row>
    <row r="45" spans="13:14">
      <c r="M45" t="s">
        <v>142</v>
      </c>
      <c r="N45">
        <f>N44*N39</f>
        <v>0.24999999999999989</v>
      </c>
    </row>
    <row r="47" spans="13:14">
      <c r="M47" t="s">
        <v>144</v>
      </c>
      <c r="N47">
        <f>N45+N34+N23+N12</f>
        <v>2.9050000000000002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abSelected="1" workbookViewId="0">
      <selection activeCell="G19" sqref="G19"/>
    </sheetView>
  </sheetViews>
  <sheetFormatPr baseColWidth="10" defaultRowHeight="15" x14ac:dyDescent="0"/>
  <cols>
    <col min="1" max="1" width="19.83203125" customWidth="1"/>
    <col min="2" max="2" width="14" customWidth="1"/>
    <col min="3" max="3" width="16.83203125" customWidth="1"/>
    <col min="4" max="4" width="20.33203125" customWidth="1"/>
    <col min="5" max="5" width="13.1640625" customWidth="1"/>
    <col min="6" max="6" width="15.33203125" customWidth="1"/>
    <col min="8" max="9" width="10.83203125" hidden="1" customWidth="1"/>
  </cols>
  <sheetData>
    <row r="3" spans="1:12" ht="60">
      <c r="A3" t="s">
        <v>49</v>
      </c>
      <c r="B3" t="s">
        <v>6</v>
      </c>
      <c r="C3" t="s">
        <v>50</v>
      </c>
      <c r="D3" s="24" t="s">
        <v>51</v>
      </c>
      <c r="E3" s="24" t="s">
        <v>53</v>
      </c>
      <c r="F3" s="24" t="s">
        <v>52</v>
      </c>
      <c r="G3" t="s">
        <v>8</v>
      </c>
      <c r="J3" t="s">
        <v>176</v>
      </c>
    </row>
    <row r="4" spans="1:12">
      <c r="A4" t="s">
        <v>133</v>
      </c>
      <c r="B4">
        <v>10</v>
      </c>
      <c r="C4">
        <v>10</v>
      </c>
      <c r="D4">
        <v>10</v>
      </c>
      <c r="E4">
        <v>10</v>
      </c>
      <c r="F4">
        <v>10</v>
      </c>
      <c r="G4">
        <v>5</v>
      </c>
    </row>
    <row r="5" spans="1:12">
      <c r="A5" t="s">
        <v>54</v>
      </c>
      <c r="B5" s="53">
        <v>7</v>
      </c>
      <c r="C5" s="53">
        <v>3</v>
      </c>
      <c r="D5" s="53">
        <v>5</v>
      </c>
      <c r="E5" s="53">
        <v>7</v>
      </c>
      <c r="F5" s="53">
        <v>4</v>
      </c>
      <c r="G5" s="53">
        <v>4</v>
      </c>
    </row>
    <row r="7" spans="1:12">
      <c r="A7" t="s">
        <v>148</v>
      </c>
      <c r="B7">
        <f>Subconjuntos!B25</f>
        <v>2.95</v>
      </c>
      <c r="C7">
        <f>Subconjuntos!K25</f>
        <v>2.2150000000000007</v>
      </c>
      <c r="D7">
        <f>Subconjuntos!Q25</f>
        <v>2.8025000000000002</v>
      </c>
      <c r="E7">
        <f>Subconjuntos!E25</f>
        <v>2.95</v>
      </c>
      <c r="F7">
        <f>Subconjuntos!N47</f>
        <v>2.9050000000000002</v>
      </c>
      <c r="G7">
        <f>Subconjuntos!H25</f>
        <v>2.95</v>
      </c>
    </row>
    <row r="9" spans="1:12">
      <c r="A9" t="s">
        <v>149</v>
      </c>
      <c r="B9">
        <f t="shared" ref="B9:G9" si="0">B7*B5*B4</f>
        <v>206.50000000000003</v>
      </c>
      <c r="C9">
        <f t="shared" si="0"/>
        <v>66.450000000000017</v>
      </c>
      <c r="D9">
        <f t="shared" si="0"/>
        <v>140.125</v>
      </c>
      <c r="E9">
        <f t="shared" si="0"/>
        <v>206.50000000000003</v>
      </c>
      <c r="F9">
        <f t="shared" si="0"/>
        <v>116.20000000000002</v>
      </c>
      <c r="G9">
        <f t="shared" si="0"/>
        <v>59</v>
      </c>
      <c r="H9">
        <f>SUM(B9:G9)</f>
        <v>794.77500000000009</v>
      </c>
    </row>
    <row r="11" spans="1:12">
      <c r="A11" t="s">
        <v>150</v>
      </c>
      <c r="B11">
        <f>50*B9/$H$9</f>
        <v>12.991098109527854</v>
      </c>
      <c r="C11">
        <f t="shared" ref="C11:G11" si="1">50*C9/$H$9</f>
        <v>4.1804284231386246</v>
      </c>
      <c r="D11">
        <f t="shared" si="1"/>
        <v>8.8153880028938989</v>
      </c>
      <c r="E11">
        <f t="shared" si="1"/>
        <v>12.991098109527854</v>
      </c>
      <c r="F11">
        <f t="shared" si="1"/>
        <v>7.31024503790381</v>
      </c>
      <c r="G11">
        <f t="shared" si="1"/>
        <v>3.7117423170079578</v>
      </c>
      <c r="J11">
        <v>15</v>
      </c>
    </row>
    <row r="13" spans="1:12">
      <c r="A13" t="s">
        <v>151</v>
      </c>
      <c r="B13">
        <v>3</v>
      </c>
      <c r="C13">
        <v>4.5</v>
      </c>
      <c r="D13">
        <v>4.5</v>
      </c>
      <c r="E13">
        <v>4.5</v>
      </c>
      <c r="F13">
        <v>3</v>
      </c>
      <c r="G13">
        <v>3</v>
      </c>
      <c r="L13" t="s">
        <v>179</v>
      </c>
    </row>
    <row r="15" spans="1:12">
      <c r="A15" t="s">
        <v>152</v>
      </c>
      <c r="B15">
        <f t="shared" ref="B15:G15" si="2">B11-B13</f>
        <v>9.9910981095278544</v>
      </c>
      <c r="C15">
        <f t="shared" si="2"/>
        <v>-0.31957157686137538</v>
      </c>
      <c r="D15">
        <f t="shared" si="2"/>
        <v>4.3153880028938989</v>
      </c>
      <c r="E15">
        <f t="shared" si="2"/>
        <v>8.4910981095278544</v>
      </c>
      <c r="F15">
        <f t="shared" si="2"/>
        <v>4.31024503790381</v>
      </c>
      <c r="G15">
        <f t="shared" si="2"/>
        <v>0.71174231700795776</v>
      </c>
      <c r="J15">
        <v>15</v>
      </c>
      <c r="L15">
        <f>SUM(B15:J15)</f>
        <v>42.5</v>
      </c>
    </row>
    <row r="17" spans="1:12">
      <c r="A17" t="s">
        <v>177</v>
      </c>
      <c r="C17" s="54"/>
      <c r="D17" s="54"/>
      <c r="E17" s="54"/>
      <c r="F17" s="54"/>
      <c r="G17" s="54"/>
      <c r="H17" s="54"/>
      <c r="I17" s="54"/>
      <c r="J17" s="54"/>
      <c r="L17" s="54">
        <f>SUM(B17:J17)</f>
        <v>0</v>
      </c>
    </row>
    <row r="19" spans="1:12">
      <c r="A19" t="s">
        <v>178</v>
      </c>
      <c r="B19">
        <f>B11-B17</f>
        <v>12.991098109527854</v>
      </c>
      <c r="C19" s="54">
        <f t="shared" ref="C19:J19" si="3">C11-C17</f>
        <v>4.1804284231386246</v>
      </c>
      <c r="D19" s="54">
        <f t="shared" si="3"/>
        <v>8.8153880028938989</v>
      </c>
      <c r="E19" s="54">
        <f t="shared" si="3"/>
        <v>12.991098109527854</v>
      </c>
      <c r="F19" s="54">
        <f t="shared" si="3"/>
        <v>7.31024503790381</v>
      </c>
      <c r="G19" s="54">
        <f t="shared" si="3"/>
        <v>3.7117423170079578</v>
      </c>
      <c r="H19" s="54">
        <f t="shared" si="3"/>
        <v>0</v>
      </c>
      <c r="I19" s="54">
        <f t="shared" si="3"/>
        <v>0</v>
      </c>
      <c r="J19" s="54">
        <f t="shared" si="3"/>
        <v>15</v>
      </c>
      <c r="L19">
        <f>SUM(B19:J19)</f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6" sqref="D6"/>
    </sheetView>
  </sheetViews>
  <sheetFormatPr baseColWidth="10" defaultRowHeight="15" x14ac:dyDescent="0"/>
  <cols>
    <col min="1" max="7" width="22.33203125" customWidth="1"/>
    <col min="8" max="8" width="18.6640625" customWidth="1"/>
  </cols>
  <sheetData>
    <row r="1" spans="1:9" ht="19">
      <c r="A1" s="89" t="s">
        <v>153</v>
      </c>
      <c r="B1" s="90"/>
    </row>
    <row r="2" spans="1:9" ht="16" thickBot="1"/>
    <row r="3" spans="1:9" ht="17" thickTop="1" thickBot="1">
      <c r="A3" s="55"/>
      <c r="B3" s="57" t="s">
        <v>11</v>
      </c>
      <c r="C3" s="57" t="s">
        <v>15</v>
      </c>
      <c r="D3" s="57" t="s">
        <v>154</v>
      </c>
      <c r="E3" s="57" t="s">
        <v>20</v>
      </c>
      <c r="F3" s="57" t="s">
        <v>21</v>
      </c>
      <c r="G3" s="57" t="s">
        <v>155</v>
      </c>
      <c r="H3" s="57" t="s">
        <v>174</v>
      </c>
    </row>
    <row r="4" spans="1:9" ht="17" thickTop="1" thickBot="1">
      <c r="A4" s="56" t="s">
        <v>156</v>
      </c>
      <c r="B4" s="75"/>
      <c r="C4" s="60" t="s">
        <v>157</v>
      </c>
      <c r="D4" s="74"/>
      <c r="E4" s="60" t="s">
        <v>157</v>
      </c>
      <c r="F4" s="61" t="s">
        <v>173</v>
      </c>
      <c r="G4" s="61"/>
      <c r="H4" s="62"/>
    </row>
    <row r="5" spans="1:9" ht="17" thickTop="1" thickBot="1">
      <c r="A5" s="56" t="s">
        <v>158</v>
      </c>
      <c r="B5" s="63" t="s">
        <v>159</v>
      </c>
      <c r="C5" s="58" t="s">
        <v>173</v>
      </c>
      <c r="D5" s="59" t="s">
        <v>159</v>
      </c>
      <c r="E5" s="58" t="s">
        <v>173</v>
      </c>
      <c r="F5" s="61" t="s">
        <v>173</v>
      </c>
      <c r="G5" s="58"/>
      <c r="H5" s="64"/>
    </row>
    <row r="6" spans="1:9" ht="17" thickTop="1" thickBot="1">
      <c r="A6" s="56" t="s">
        <v>160</v>
      </c>
      <c r="B6" s="65" t="s">
        <v>173</v>
      </c>
      <c r="C6" s="58" t="s">
        <v>173</v>
      </c>
      <c r="D6" s="58" t="s">
        <v>173</v>
      </c>
      <c r="E6" s="58" t="s">
        <v>173</v>
      </c>
      <c r="F6" s="59" t="s">
        <v>161</v>
      </c>
      <c r="G6" s="68" t="s">
        <v>175</v>
      </c>
      <c r="H6" s="73" t="s">
        <v>175</v>
      </c>
    </row>
    <row r="7" spans="1:9" ht="17" thickTop="1" thickBot="1">
      <c r="A7" s="56" t="s">
        <v>162</v>
      </c>
      <c r="B7" s="63" t="s">
        <v>163</v>
      </c>
      <c r="C7" s="59" t="s">
        <v>164</v>
      </c>
      <c r="D7" s="59" t="s">
        <v>163</v>
      </c>
      <c r="E7" s="59" t="s">
        <v>165</v>
      </c>
      <c r="F7" s="59" t="s">
        <v>163</v>
      </c>
      <c r="G7" s="68" t="s">
        <v>175</v>
      </c>
      <c r="H7" s="71" t="s">
        <v>173</v>
      </c>
    </row>
    <row r="8" spans="1:9" ht="17" thickTop="1" thickBot="1">
      <c r="A8" s="56" t="s">
        <v>166</v>
      </c>
      <c r="B8" s="63" t="s">
        <v>167</v>
      </c>
      <c r="C8" s="58" t="s">
        <v>173</v>
      </c>
      <c r="D8" s="59" t="s">
        <v>167</v>
      </c>
      <c r="E8" s="59" t="s">
        <v>165</v>
      </c>
      <c r="F8" s="58" t="s">
        <v>173</v>
      </c>
      <c r="G8" s="68" t="s">
        <v>175</v>
      </c>
      <c r="H8" s="73" t="s">
        <v>175</v>
      </c>
    </row>
    <row r="9" spans="1:9" ht="32" thickTop="1" thickBot="1">
      <c r="A9" s="56" t="s">
        <v>168</v>
      </c>
      <c r="B9" s="63" t="s">
        <v>169</v>
      </c>
      <c r="C9" s="58" t="s">
        <v>173</v>
      </c>
      <c r="D9" s="59" t="s">
        <v>170</v>
      </c>
      <c r="E9" s="58" t="s">
        <v>173</v>
      </c>
      <c r="F9" s="59" t="s">
        <v>170</v>
      </c>
      <c r="G9" s="58" t="s">
        <v>173</v>
      </c>
      <c r="H9" s="71" t="s">
        <v>173</v>
      </c>
    </row>
    <row r="10" spans="1:9" ht="17" thickTop="1" thickBot="1">
      <c r="A10" s="56" t="s">
        <v>171</v>
      </c>
      <c r="B10" s="65" t="s">
        <v>173</v>
      </c>
      <c r="C10" s="68" t="s">
        <v>175</v>
      </c>
      <c r="D10" s="58" t="s">
        <v>173</v>
      </c>
      <c r="E10" s="69" t="s">
        <v>175</v>
      </c>
      <c r="F10" s="58"/>
      <c r="G10" s="58"/>
      <c r="H10" s="64"/>
    </row>
    <row r="11" spans="1:9" ht="17" thickTop="1" thickBot="1">
      <c r="A11" s="56" t="s">
        <v>172</v>
      </c>
      <c r="B11" s="70" t="s">
        <v>175</v>
      </c>
      <c r="C11" s="69" t="s">
        <v>175</v>
      </c>
      <c r="D11" s="69" t="s">
        <v>175</v>
      </c>
      <c r="E11" s="72"/>
      <c r="F11" s="66"/>
      <c r="G11" s="66"/>
      <c r="H11" s="67"/>
    </row>
    <row r="12" spans="1:9" ht="16" thickTop="1"/>
    <row r="13" spans="1:9">
      <c r="B13">
        <v>6</v>
      </c>
      <c r="C13">
        <v>6</v>
      </c>
      <c r="D13">
        <v>6</v>
      </c>
      <c r="E13">
        <v>7</v>
      </c>
      <c r="F13">
        <v>5</v>
      </c>
    </row>
    <row r="14" spans="1:9">
      <c r="B14">
        <f>B13*1.5</f>
        <v>9</v>
      </c>
      <c r="C14">
        <f>C13*1.5</f>
        <v>9</v>
      </c>
      <c r="D14">
        <f>D13*1.5</f>
        <v>9</v>
      </c>
      <c r="E14">
        <f>E13*1.5</f>
        <v>10.5</v>
      </c>
      <c r="F14">
        <f>F13*1.5</f>
        <v>7.5</v>
      </c>
      <c r="I14">
        <f>SUM(B14:H14)</f>
        <v>45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9" workbookViewId="0">
      <selection sqref="A1:B36"/>
    </sheetView>
  </sheetViews>
  <sheetFormatPr baseColWidth="10" defaultRowHeight="15" x14ac:dyDescent="0"/>
  <sheetData>
    <row r="1" spans="1:2">
      <c r="A1">
        <v>0</v>
      </c>
      <c r="B1">
        <v>1</v>
      </c>
    </row>
    <row r="2" spans="1:2">
      <c r="A2">
        <v>1</v>
      </c>
      <c r="B2">
        <v>1.1000000000000001</v>
      </c>
    </row>
    <row r="3" spans="1:2">
      <c r="A3">
        <v>2</v>
      </c>
      <c r="B3">
        <v>1.3</v>
      </c>
    </row>
    <row r="4" spans="1:2">
      <c r="A4">
        <v>3</v>
      </c>
      <c r="B4">
        <v>1.4</v>
      </c>
    </row>
    <row r="5" spans="1:2">
      <c r="A5">
        <v>4</v>
      </c>
      <c r="B5">
        <v>1.6</v>
      </c>
    </row>
    <row r="6" spans="1:2">
      <c r="A6">
        <v>5</v>
      </c>
      <c r="B6">
        <v>1.7</v>
      </c>
    </row>
    <row r="7" spans="1:2">
      <c r="A7">
        <v>6</v>
      </c>
      <c r="B7">
        <v>1.9</v>
      </c>
    </row>
    <row r="8" spans="1:2">
      <c r="A8">
        <v>7</v>
      </c>
      <c r="B8">
        <v>2</v>
      </c>
    </row>
    <row r="9" spans="1:2">
      <c r="A9">
        <v>8</v>
      </c>
      <c r="B9">
        <v>2.1</v>
      </c>
    </row>
    <row r="10" spans="1:2">
      <c r="A10">
        <v>9</v>
      </c>
      <c r="B10">
        <v>2.2999999999999998</v>
      </c>
    </row>
    <row r="11" spans="1:2">
      <c r="A11">
        <v>10</v>
      </c>
      <c r="B11">
        <v>2.4</v>
      </c>
    </row>
    <row r="12" spans="1:2">
      <c r="A12">
        <v>11</v>
      </c>
      <c r="B12">
        <v>2.6</v>
      </c>
    </row>
    <row r="13" spans="1:2">
      <c r="A13">
        <v>12</v>
      </c>
      <c r="B13">
        <v>2.7</v>
      </c>
    </row>
    <row r="14" spans="1:2">
      <c r="A14">
        <v>13</v>
      </c>
      <c r="B14">
        <v>2.9</v>
      </c>
    </row>
    <row r="15" spans="1:2">
      <c r="A15">
        <v>14</v>
      </c>
      <c r="B15">
        <v>3</v>
      </c>
    </row>
    <row r="16" spans="1:2">
      <c r="A16">
        <v>15</v>
      </c>
      <c r="B16">
        <v>3.1</v>
      </c>
    </row>
    <row r="17" spans="1:2">
      <c r="A17">
        <v>16</v>
      </c>
      <c r="B17">
        <v>3.3</v>
      </c>
    </row>
    <row r="18" spans="1:2">
      <c r="A18">
        <v>17</v>
      </c>
      <c r="B18">
        <v>3.4</v>
      </c>
    </row>
    <row r="19" spans="1:2">
      <c r="A19">
        <v>18</v>
      </c>
      <c r="B19">
        <v>3.6</v>
      </c>
    </row>
    <row r="20" spans="1:2">
      <c r="A20">
        <v>19</v>
      </c>
      <c r="B20">
        <v>3.7</v>
      </c>
    </row>
    <row r="21" spans="1:2">
      <c r="A21">
        <v>20</v>
      </c>
      <c r="B21">
        <v>3.9</v>
      </c>
    </row>
    <row r="22" spans="1:2">
      <c r="A22">
        <v>21</v>
      </c>
      <c r="B22">
        <v>4</v>
      </c>
    </row>
    <row r="23" spans="1:2">
      <c r="A23">
        <v>22</v>
      </c>
      <c r="B23">
        <v>4.2</v>
      </c>
    </row>
    <row r="24" spans="1:2">
      <c r="A24">
        <v>23</v>
      </c>
      <c r="B24">
        <v>4.4000000000000004</v>
      </c>
    </row>
    <row r="25" spans="1:2">
      <c r="A25">
        <v>24</v>
      </c>
      <c r="B25">
        <v>4.5999999999999996</v>
      </c>
    </row>
    <row r="26" spans="1:2">
      <c r="A26">
        <v>25</v>
      </c>
      <c r="B26">
        <v>4.9000000000000004</v>
      </c>
    </row>
    <row r="27" spans="1:2">
      <c r="A27">
        <v>26</v>
      </c>
      <c r="B27">
        <v>5.0999999999999996</v>
      </c>
    </row>
    <row r="28" spans="1:2">
      <c r="A28">
        <v>27</v>
      </c>
      <c r="B28">
        <v>5.3</v>
      </c>
    </row>
    <row r="29" spans="1:2">
      <c r="A29">
        <v>28</v>
      </c>
      <c r="B29">
        <v>5.5</v>
      </c>
    </row>
    <row r="30" spans="1:2">
      <c r="A30">
        <v>29</v>
      </c>
      <c r="B30">
        <v>5.7</v>
      </c>
    </row>
    <row r="31" spans="1:2">
      <c r="A31">
        <v>30</v>
      </c>
      <c r="B31">
        <v>5.9</v>
      </c>
    </row>
    <row r="32" spans="1:2">
      <c r="A32">
        <v>31</v>
      </c>
      <c r="B32">
        <v>6.1</v>
      </c>
    </row>
    <row r="33" spans="1:2">
      <c r="A33">
        <v>32</v>
      </c>
      <c r="B33">
        <v>6.4</v>
      </c>
    </row>
    <row r="34" spans="1:2">
      <c r="A34">
        <v>33</v>
      </c>
      <c r="B34">
        <v>6.6</v>
      </c>
    </row>
    <row r="35" spans="1:2">
      <c r="A35">
        <v>34</v>
      </c>
      <c r="B35">
        <v>6.8</v>
      </c>
    </row>
    <row r="36" spans="1:2">
      <c r="A36">
        <v>35</v>
      </c>
      <c r="B36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Asistencias</vt:lpstr>
      <vt:lpstr>Notas</vt:lpstr>
      <vt:lpstr>Subconjuntos</vt:lpstr>
      <vt:lpstr>Programación</vt:lpstr>
      <vt:lpstr>Horario</vt:lpstr>
      <vt:lpstr>Remote learning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Valdivia</dc:creator>
  <cp:lastModifiedBy>Mauri Valdivia</cp:lastModifiedBy>
  <dcterms:created xsi:type="dcterms:W3CDTF">2017-07-18T03:03:39Z</dcterms:created>
  <dcterms:modified xsi:type="dcterms:W3CDTF">2017-08-14T21:55:57Z</dcterms:modified>
</cp:coreProperties>
</file>