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n\OneDrive\Desktop\Project 3\"/>
    </mc:Choice>
  </mc:AlternateContent>
  <xr:revisionPtr revIDLastSave="171" documentId="8_{E2865901-C615-427F-AFFE-0097C2988824}" xr6:coauthVersionLast="43" xr6:coauthVersionMax="43" xr10:uidLastSave="{BFDADC30-E211-47AE-8788-9B1D768586CB}"/>
  <bookViews>
    <workbookView xWindow="-108" yWindow="-108" windowWidth="23256" windowHeight="12576" activeTab="3" xr2:uid="{7693B1B5-0CEF-4239-A434-EDFC90B5782F}"/>
  </bookViews>
  <sheets>
    <sheet name="Making a TrackR with fail rate" sheetId="1" r:id="rId1"/>
    <sheet name="Making a TrackR" sheetId="5" r:id="rId2"/>
    <sheet name="Profit - Loss (Sunny Day)" sheetId="6" r:id="rId3"/>
    <sheet name="Profit - Loss fail rate" sheetId="3" r:id="rId4"/>
    <sheet name="Price of each component" sheetId="2" r:id="rId5"/>
    <sheet name="Production Cost Rang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4" l="1"/>
  <c r="R11" i="4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9" i="4"/>
  <c r="R8" i="4"/>
  <c r="B14" i="3"/>
  <c r="E13" i="6" l="1"/>
  <c r="E17" i="6" l="1"/>
  <c r="E16" i="6"/>
  <c r="I9" i="6"/>
  <c r="I11" i="6" s="1"/>
  <c r="I12" i="6" s="1"/>
  <c r="B7" i="6"/>
  <c r="B6" i="6"/>
  <c r="I3" i="6"/>
  <c r="I5" i="6" s="1"/>
  <c r="I6" i="6" s="1"/>
  <c r="E13" i="3"/>
  <c r="E16" i="3" s="1"/>
  <c r="H3" i="3" l="1"/>
  <c r="B7" i="3"/>
  <c r="B6" i="3"/>
  <c r="H9" i="3"/>
  <c r="E47" i="1"/>
  <c r="D10" i="1"/>
  <c r="G40" i="1"/>
  <c r="H40" i="1" s="1"/>
  <c r="H41" i="1" s="1"/>
  <c r="G21" i="1"/>
  <c r="H21" i="1" s="1"/>
  <c r="H22" i="1" s="1"/>
  <c r="G16" i="1"/>
  <c r="H16" i="1" s="1"/>
  <c r="H17" i="1" s="1"/>
  <c r="G11" i="1"/>
  <c r="H11" i="1" s="1"/>
  <c r="H12" i="1" s="1"/>
  <c r="G5" i="1"/>
  <c r="H5" i="1" s="1"/>
  <c r="H6" i="1" s="1"/>
  <c r="E17" i="3" l="1"/>
  <c r="M28" i="4"/>
  <c r="G97" i="4"/>
  <c r="D99" i="4"/>
  <c r="D100" i="4"/>
  <c r="D101" i="4"/>
  <c r="D102" i="4"/>
  <c r="G73" i="4"/>
  <c r="M25" i="4" s="1"/>
  <c r="G33" i="1" s="1"/>
  <c r="H33" i="1" s="1"/>
  <c r="H34" i="1" s="1"/>
  <c r="E52" i="1" s="1"/>
  <c r="B73" i="4"/>
  <c r="B72" i="4"/>
  <c r="B97" i="4"/>
  <c r="D97" i="4" s="1"/>
  <c r="B96" i="4"/>
  <c r="D96" i="4" s="1"/>
  <c r="B98" i="4"/>
  <c r="D98" i="4" s="1"/>
  <c r="B74" i="4"/>
  <c r="M18" i="4"/>
  <c r="G64" i="4"/>
  <c r="B64" i="4"/>
  <c r="B63" i="4"/>
  <c r="B65" i="4"/>
  <c r="M15" i="4"/>
  <c r="G54" i="4"/>
  <c r="B54" i="4"/>
  <c r="B53" i="4"/>
  <c r="B55" i="4"/>
  <c r="B42" i="4"/>
  <c r="B43" i="4"/>
  <c r="M12" i="4"/>
  <c r="G43" i="4"/>
  <c r="B46" i="4"/>
  <c r="B47" i="4"/>
  <c r="B48" i="4"/>
  <c r="B49" i="4"/>
  <c r="B45" i="4"/>
  <c r="B35" i="4"/>
  <c r="B36" i="4"/>
  <c r="B37" i="4"/>
  <c r="B44" i="4"/>
  <c r="M8" i="4"/>
  <c r="G9" i="4" l="1"/>
  <c r="G10" i="4"/>
  <c r="G13" i="4"/>
  <c r="G14" i="4"/>
  <c r="G16" i="4"/>
  <c r="G19" i="4"/>
  <c r="G20" i="4"/>
  <c r="G23" i="4"/>
  <c r="G24" i="4"/>
  <c r="G25" i="4"/>
  <c r="G26" i="4"/>
  <c r="G8" i="4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8" i="4"/>
  <c r="E1" i="4"/>
  <c r="B3" i="4"/>
  <c r="B4" i="4" s="1"/>
  <c r="E24" i="1"/>
  <c r="E31" i="1"/>
  <c r="E36" i="1"/>
  <c r="E38" i="1"/>
  <c r="E43" i="1"/>
  <c r="E48" i="1"/>
  <c r="K11" i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4" i="5"/>
  <c r="D27" i="5"/>
  <c r="B3" i="6" s="1"/>
  <c r="H5" i="3"/>
  <c r="H6" i="3" s="1"/>
  <c r="B14" i="2"/>
  <c r="B14" i="6" s="1"/>
  <c r="B17" i="6" s="1"/>
  <c r="H11" i="3"/>
  <c r="H12" i="3" l="1"/>
  <c r="E20" i="3" s="1"/>
  <c r="D9" i="4"/>
  <c r="O9" i="4" s="1"/>
  <c r="D80" i="4"/>
  <c r="D88" i="4"/>
  <c r="D68" i="4"/>
  <c r="D56" i="4"/>
  <c r="D37" i="4"/>
  <c r="D78" i="4"/>
  <c r="D46" i="4"/>
  <c r="D81" i="4"/>
  <c r="D89" i="4"/>
  <c r="D72" i="4"/>
  <c r="D57" i="4"/>
  <c r="D38" i="4"/>
  <c r="D76" i="4"/>
  <c r="D65" i="4"/>
  <c r="D45" i="4"/>
  <c r="D86" i="4"/>
  <c r="D54" i="4"/>
  <c r="D87" i="4"/>
  <c r="D47" i="4"/>
  <c r="D82" i="4"/>
  <c r="D90" i="4"/>
  <c r="D58" i="4"/>
  <c r="D85" i="4"/>
  <c r="D83" i="4"/>
  <c r="D91" i="4"/>
  <c r="D59" i="4"/>
  <c r="D42" i="4"/>
  <c r="D53" i="4"/>
  <c r="D66" i="4"/>
  <c r="D79" i="4"/>
  <c r="D67" i="4"/>
  <c r="D55" i="4"/>
  <c r="D84" i="4"/>
  <c r="D92" i="4"/>
  <c r="D75" i="4"/>
  <c r="D77" i="4"/>
  <c r="D48" i="4"/>
  <c r="D44" i="4"/>
  <c r="D64" i="4"/>
  <c r="D43" i="4"/>
  <c r="D74" i="4"/>
  <c r="D63" i="4"/>
  <c r="D49" i="4"/>
  <c r="D36" i="4"/>
  <c r="D35" i="4"/>
  <c r="D73" i="4"/>
  <c r="D8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D23" i="4"/>
  <c r="O23" i="4" s="1"/>
  <c r="D24" i="4"/>
  <c r="O24" i="4" s="1"/>
  <c r="D29" i="4"/>
  <c r="O29" i="4" s="1"/>
  <c r="D16" i="4"/>
  <c r="O16" i="4" s="1"/>
  <c r="D28" i="4"/>
  <c r="E27" i="5"/>
  <c r="E8" i="4"/>
  <c r="E9" i="4" s="1"/>
  <c r="D22" i="4"/>
  <c r="O22" i="4" s="1"/>
  <c r="D14" i="4"/>
  <c r="O14" i="4" s="1"/>
  <c r="D15" i="4"/>
  <c r="D21" i="4"/>
  <c r="O21" i="4" s="1"/>
  <c r="D13" i="4"/>
  <c r="O13" i="4" s="1"/>
  <c r="D12" i="4"/>
  <c r="D19" i="4"/>
  <c r="O19" i="4" s="1"/>
  <c r="D26" i="4"/>
  <c r="O26" i="4" s="1"/>
  <c r="D18" i="4"/>
  <c r="D10" i="4"/>
  <c r="O10" i="4" s="1"/>
  <c r="D20" i="4"/>
  <c r="O20" i="4" s="1"/>
  <c r="D27" i="4"/>
  <c r="O27" i="4" s="1"/>
  <c r="D11" i="4"/>
  <c r="O11" i="4" s="1"/>
  <c r="D25" i="4"/>
  <c r="D17" i="4"/>
  <c r="O17" i="4" s="1"/>
  <c r="D29" i="5" l="1"/>
  <c r="B4" i="6"/>
  <c r="E10" i="4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K9" i="1"/>
  <c r="K7" i="1"/>
  <c r="E28" i="1"/>
  <c r="D30" i="5" l="1"/>
  <c r="B10" i="6" s="1"/>
  <c r="B9" i="6"/>
  <c r="D5" i="1"/>
  <c r="E6" i="1" s="1"/>
  <c r="B21" i="1"/>
  <c r="D21" i="1" s="1"/>
  <c r="E22" i="1" s="1"/>
  <c r="B16" i="1"/>
  <c r="D16" i="1" s="1"/>
  <c r="E17" i="1" s="1"/>
  <c r="B40" i="1"/>
  <c r="B33" i="1"/>
  <c r="B71" i="4"/>
  <c r="B34" i="4"/>
  <c r="B41" i="4"/>
  <c r="B52" i="4"/>
  <c r="B11" i="1"/>
  <c r="D11" i="1" s="1"/>
  <c r="E12" i="1" s="1"/>
  <c r="B95" i="4"/>
  <c r="B62" i="4"/>
  <c r="B20" i="6" l="1"/>
  <c r="E18" i="6"/>
  <c r="E20" i="6" s="1"/>
  <c r="B21" i="6" s="1"/>
  <c r="D33" i="1"/>
  <c r="C41" i="4"/>
  <c r="C42" i="4" s="1"/>
  <c r="C43" i="4" s="1"/>
  <c r="C44" i="4" s="1"/>
  <c r="C45" i="4" s="1"/>
  <c r="C46" i="4" s="1"/>
  <c r="C47" i="4" s="1"/>
  <c r="C48" i="4" s="1"/>
  <c r="C49" i="4" s="1"/>
  <c r="K12" i="4" s="1"/>
  <c r="D41" i="4"/>
  <c r="C34" i="4"/>
  <c r="C35" i="4" s="1"/>
  <c r="C36" i="4" s="1"/>
  <c r="C37" i="4" s="1"/>
  <c r="C38" i="4" s="1"/>
  <c r="K8" i="4" s="1"/>
  <c r="N8" i="4" s="1"/>
  <c r="N9" i="4" s="1"/>
  <c r="N10" i="4" s="1"/>
  <c r="N11" i="4" s="1"/>
  <c r="D34" i="4"/>
  <c r="E34" i="4" s="1"/>
  <c r="D40" i="1"/>
  <c r="E41" i="1" s="1"/>
  <c r="C71" i="4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K25" i="4" s="1"/>
  <c r="D71" i="4"/>
  <c r="E71" i="4" s="1"/>
  <c r="C62" i="4"/>
  <c r="C63" i="4" s="1"/>
  <c r="C64" i="4" s="1"/>
  <c r="C65" i="4" s="1"/>
  <c r="C66" i="4" s="1"/>
  <c r="C67" i="4" s="1"/>
  <c r="C68" i="4" s="1"/>
  <c r="K18" i="4" s="1"/>
  <c r="D62" i="4"/>
  <c r="E62" i="4" s="1"/>
  <c r="D95" i="4"/>
  <c r="E95" i="4" s="1"/>
  <c r="C95" i="4"/>
  <c r="C96" i="4" s="1"/>
  <c r="C97" i="4" s="1"/>
  <c r="C98" i="4" s="1"/>
  <c r="C99" i="4" s="1"/>
  <c r="C100" i="4" s="1"/>
  <c r="C101" i="4" s="1"/>
  <c r="C102" i="4" s="1"/>
  <c r="K28" i="4" s="1"/>
  <c r="C52" i="4"/>
  <c r="C53" i="4" s="1"/>
  <c r="C54" i="4" s="1"/>
  <c r="C55" i="4" s="1"/>
  <c r="C56" i="4" s="1"/>
  <c r="C57" i="4" s="1"/>
  <c r="C58" i="4" s="1"/>
  <c r="C59" i="4" s="1"/>
  <c r="K15" i="4" s="1"/>
  <c r="D52" i="4"/>
  <c r="E52" i="4" s="1"/>
  <c r="E34" i="1"/>
  <c r="E45" i="1" s="1"/>
  <c r="B3" i="3" s="1"/>
  <c r="B23" i="6" l="1"/>
  <c r="N12" i="4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H71" i="4"/>
  <c r="E72" i="4"/>
  <c r="H52" i="4"/>
  <c r="E53" i="4"/>
  <c r="H34" i="4"/>
  <c r="E35" i="4"/>
  <c r="H95" i="4"/>
  <c r="E96" i="4"/>
  <c r="E41" i="4"/>
  <c r="E42" i="4" s="1"/>
  <c r="E43" i="4" s="1"/>
  <c r="E44" i="4" s="1"/>
  <c r="E45" i="4" s="1"/>
  <c r="E46" i="4" s="1"/>
  <c r="E47" i="4" s="1"/>
  <c r="E48" i="4" s="1"/>
  <c r="E49" i="4" s="1"/>
  <c r="L12" i="4" s="1"/>
  <c r="O12" i="4" s="1"/>
  <c r="H41" i="4"/>
  <c r="H42" i="4" s="1"/>
  <c r="H43" i="4" s="1"/>
  <c r="H44" i="4" s="1"/>
  <c r="H45" i="4" s="1"/>
  <c r="H46" i="4" s="1"/>
  <c r="H47" i="4" s="1"/>
  <c r="H48" i="4" s="1"/>
  <c r="H49" i="4" s="1"/>
  <c r="H62" i="4"/>
  <c r="E63" i="4"/>
  <c r="E46" i="1"/>
  <c r="H96" i="4" l="1"/>
  <c r="E97" i="4"/>
  <c r="H35" i="4"/>
  <c r="E36" i="4"/>
  <c r="E64" i="4"/>
  <c r="H63" i="4"/>
  <c r="E54" i="4"/>
  <c r="H53" i="4"/>
  <c r="H72" i="4"/>
  <c r="E73" i="4"/>
  <c r="E49" i="1"/>
  <c r="E54" i="1" s="1"/>
  <c r="B4" i="3"/>
  <c r="H54" i="4" l="1"/>
  <c r="E55" i="4"/>
  <c r="E37" i="4"/>
  <c r="H36" i="4"/>
  <c r="H64" i="4"/>
  <c r="E65" i="4"/>
  <c r="H73" i="4"/>
  <c r="E74" i="4"/>
  <c r="H97" i="4"/>
  <c r="E98" i="4"/>
  <c r="E55" i="1"/>
  <c r="B9" i="3"/>
  <c r="E50" i="1"/>
  <c r="B17" i="3"/>
  <c r="B10" i="3" l="1"/>
  <c r="B20" i="3" s="1"/>
  <c r="H74" i="4"/>
  <c r="E75" i="4"/>
  <c r="E38" i="4"/>
  <c r="H37" i="4"/>
  <c r="E66" i="4"/>
  <c r="H65" i="4"/>
  <c r="E99" i="4"/>
  <c r="E100" i="4" s="1"/>
  <c r="E101" i="4" s="1"/>
  <c r="E102" i="4" s="1"/>
  <c r="L28" i="4" s="1"/>
  <c r="O28" i="4" s="1"/>
  <c r="H98" i="4"/>
  <c r="H55" i="4"/>
  <c r="E56" i="4"/>
  <c r="E57" i="4" s="1"/>
  <c r="E58" i="4" s="1"/>
  <c r="E59" i="4" s="1"/>
  <c r="L15" i="4" s="1"/>
  <c r="O15" i="4" s="1"/>
  <c r="H99" i="4" l="1"/>
  <c r="H100" i="4" s="1"/>
  <c r="H101" i="4" s="1"/>
  <c r="H102" i="4" s="1"/>
  <c r="H56" i="4"/>
  <c r="H57" i="4" s="1"/>
  <c r="H58" i="4" s="1"/>
  <c r="H59" i="4" s="1"/>
  <c r="E67" i="4"/>
  <c r="E68" i="4" s="1"/>
  <c r="L18" i="4" s="1"/>
  <c r="O18" i="4" s="1"/>
  <c r="H66" i="4"/>
  <c r="L8" i="4"/>
  <c r="O8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H38" i="4"/>
  <c r="E76" i="4"/>
  <c r="H75" i="4"/>
  <c r="E18" i="3"/>
  <c r="H67" i="4" l="1"/>
  <c r="H68" i="4" s="1"/>
  <c r="H76" i="4"/>
  <c r="E77" i="4"/>
  <c r="B21" i="3"/>
  <c r="B23" i="3" s="1"/>
  <c r="H77" i="4" l="1"/>
  <c r="E78" i="4"/>
  <c r="E79" i="4" l="1"/>
  <c r="H78" i="4"/>
  <c r="E80" i="4" l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L25" i="4" s="1"/>
  <c r="O25" i="4" s="1"/>
  <c r="P25" i="4" s="1"/>
  <c r="P26" i="4" s="1"/>
  <c r="P27" i="4" s="1"/>
  <c r="P28" i="4" s="1"/>
  <c r="P29" i="4" s="1"/>
  <c r="H79" i="4"/>
  <c r="H80" i="4" l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</calcChain>
</file>

<file path=xl/sharedStrings.xml><?xml version="1.0" encoding="utf-8"?>
<sst xmlns="http://schemas.openxmlformats.org/spreadsheetml/2006/main" count="325" uniqueCount="151">
  <si>
    <t>Removing MPC432119-2</t>
  </si>
  <si>
    <t>Fail Rate</t>
  </si>
  <si>
    <t>Time</t>
  </si>
  <si>
    <t>Total Time</t>
  </si>
  <si>
    <t>MPC44422 slid into LS1121</t>
  </si>
  <si>
    <t>LS1121 Inserted to MCp432119-2</t>
  </si>
  <si>
    <t>Tug Test</t>
  </si>
  <si>
    <t>Total Process Failure Rate</t>
  </si>
  <si>
    <t>SDMALBB3033G Placed on GN1212</t>
  </si>
  <si>
    <t>GN1212 Soldered to SDMALBB3033G</t>
  </si>
  <si>
    <t>Visual Examination</t>
  </si>
  <si>
    <t>Use of Champig System</t>
  </si>
  <si>
    <t>Cleaning Soldering</t>
  </si>
  <si>
    <t>HG213123-221 and STMA11233 Soldered to BD2098733AAB</t>
  </si>
  <si>
    <t>for soldering to bond</t>
  </si>
  <si>
    <t xml:space="preserve">Tug Test </t>
  </si>
  <si>
    <t>Failure of tug test</t>
  </si>
  <si>
    <t>BD2098733AB mounted to FnOFI-Gn1212</t>
  </si>
  <si>
    <t>STMA11233 soldered to HG213123-221</t>
  </si>
  <si>
    <t>Soldering to bond</t>
  </si>
  <si>
    <t>BLE112 slid to GN1212</t>
  </si>
  <si>
    <t xml:space="preserve">BD20911131BB slid to GN1212 </t>
  </si>
  <si>
    <t>SFLV25 with all internal component</t>
  </si>
  <si>
    <t>Failure Rate of SFLV25</t>
  </si>
  <si>
    <t>SS98AAIS slid to MCP432119-2</t>
  </si>
  <si>
    <t>Removing TrackR from Clamping System</t>
  </si>
  <si>
    <t xml:space="preserve">Heat Test </t>
  </si>
  <si>
    <t>failure rate</t>
  </si>
  <si>
    <t>Syn Activity</t>
  </si>
  <si>
    <t>Product</t>
  </si>
  <si>
    <t>Total Time to assemble</t>
  </si>
  <si>
    <t>Total time to pick up</t>
  </si>
  <si>
    <t>Total Production per Table per shift</t>
  </si>
  <si>
    <t>Total Production per shift</t>
  </si>
  <si>
    <t>Average Walking Speed in m/s</t>
  </si>
  <si>
    <t>Total Time to pick up single component in seconds</t>
  </si>
  <si>
    <t>Total time to pick up 13 components</t>
  </si>
  <si>
    <t>Inspecting failure of MPC432119-2</t>
  </si>
  <si>
    <t>Total distance from assembly line to replacement and back</t>
  </si>
  <si>
    <t>Time taken to travel the distance to assembly line</t>
  </si>
  <si>
    <t>Total hours of production work in a shift</t>
  </si>
  <si>
    <t>Total production work in minutes</t>
  </si>
  <si>
    <t>Time to assemble TrackR unit</t>
  </si>
  <si>
    <t>Time to assemble TrackR unit in Minutes</t>
  </si>
  <si>
    <t>Income from TrackR</t>
  </si>
  <si>
    <t>Component Cost</t>
  </si>
  <si>
    <t>TrackR assembled per table</t>
  </si>
  <si>
    <t>TrackR assembled per shift</t>
  </si>
  <si>
    <t xml:space="preserve">Recording loss time </t>
  </si>
  <si>
    <t>Time taken to travel</t>
  </si>
  <si>
    <t>Cost of Labour for Assembly Guys Per table</t>
  </si>
  <si>
    <t>Cost of Labour for maintenance guys per table</t>
  </si>
  <si>
    <t>Payroll Burden</t>
  </si>
  <si>
    <t xml:space="preserve">Total Cost </t>
  </si>
  <si>
    <t xml:space="preserve">Payroll Burden </t>
  </si>
  <si>
    <t>Total Cost</t>
  </si>
  <si>
    <t>Total Cost per shift</t>
  </si>
  <si>
    <t xml:space="preserve">Total Cost per Shift </t>
  </si>
  <si>
    <t>Marketing cost per TrackR</t>
  </si>
  <si>
    <t>Component</t>
  </si>
  <si>
    <t>Costs</t>
  </si>
  <si>
    <t>MPC432119-2</t>
  </si>
  <si>
    <t>MPC44422</t>
  </si>
  <si>
    <t>SFLV25</t>
  </si>
  <si>
    <t>FnOFI-GN1212</t>
  </si>
  <si>
    <t>BD2098733AAB</t>
  </si>
  <si>
    <t>BD20911131BB</t>
  </si>
  <si>
    <t>HG213123-221</t>
  </si>
  <si>
    <t>STMA11233</t>
  </si>
  <si>
    <t>SS98AAIS</t>
  </si>
  <si>
    <t>SDMALBB3033G</t>
  </si>
  <si>
    <t>BLE112</t>
  </si>
  <si>
    <t>LS1121</t>
  </si>
  <si>
    <t>Total Number of Assemble staff per table</t>
  </si>
  <si>
    <t>Total number of maintenance staff</t>
  </si>
  <si>
    <t>Assembly Guy cost</t>
  </si>
  <si>
    <t>Maintenance Guy cost</t>
  </si>
  <si>
    <t>Hours per shift</t>
  </si>
  <si>
    <t>Total number of assembly line</t>
  </si>
  <si>
    <t>Total Working Time in hour</t>
  </si>
  <si>
    <t>Number of minutes in an hour</t>
  </si>
  <si>
    <t>Income generated from TrackR sale</t>
  </si>
  <si>
    <t>Total Production Cost</t>
  </si>
  <si>
    <t>Total Production Expenditure</t>
  </si>
  <si>
    <t>Gross Profit after Production per shift</t>
  </si>
  <si>
    <t>Total minutes in an hour</t>
  </si>
  <si>
    <t>Total Assembly line</t>
  </si>
  <si>
    <t>Products</t>
  </si>
  <si>
    <t>Time in minutes</t>
  </si>
  <si>
    <t>Total Number of minutes in hour</t>
  </si>
  <si>
    <t>Total Assembler wage per table per hour</t>
  </si>
  <si>
    <t>Assembler Wage per hour</t>
  </si>
  <si>
    <t>Total Assembler per table per hour</t>
  </si>
  <si>
    <t>Total Wage per Second</t>
  </si>
  <si>
    <t>No of seconds in an hour</t>
  </si>
  <si>
    <t>Duration (s)</t>
  </si>
  <si>
    <t>Total Time to Task</t>
  </si>
  <si>
    <t>Labour Cost per task</t>
  </si>
  <si>
    <t>Labour cost to task</t>
  </si>
  <si>
    <t>LS1121 Inserted to MCP432119-2</t>
  </si>
  <si>
    <t>Product Cost</t>
  </si>
  <si>
    <t>All total to task</t>
  </si>
  <si>
    <t>Failure Rate</t>
  </si>
  <si>
    <t>Action</t>
  </si>
  <si>
    <t>Labour Cost</t>
  </si>
  <si>
    <t>Replacement Cost</t>
  </si>
  <si>
    <t>Process 1</t>
  </si>
  <si>
    <t>Process 3</t>
  </si>
  <si>
    <t>Process 2</t>
  </si>
  <si>
    <t>Process 6</t>
  </si>
  <si>
    <t>Process 4</t>
  </si>
  <si>
    <t>Task</t>
  </si>
  <si>
    <t>Droping the component</t>
  </si>
  <si>
    <t>Picking new component</t>
  </si>
  <si>
    <t>Recording loss</t>
  </si>
  <si>
    <t>Walking to and returning from the replacement place</t>
  </si>
  <si>
    <t>Removing and inspecting</t>
  </si>
  <si>
    <t>Time to Drop component</t>
  </si>
  <si>
    <t>Total Time to Repeat</t>
  </si>
  <si>
    <t>MPC44422/MPC432119-2/LS1121</t>
  </si>
  <si>
    <t>FnOFI-GN1212/SDMALBB3033G</t>
  </si>
  <si>
    <t>HG21313-221/STMA11233/Bd2098733AAB</t>
  </si>
  <si>
    <t>Process 5</t>
  </si>
  <si>
    <t>All Internal Component</t>
  </si>
  <si>
    <t>Chemically Removing Components</t>
  </si>
  <si>
    <t>MPC43219-2/MCP44422/LS1121</t>
  </si>
  <si>
    <t>Total Cost Per Task</t>
  </si>
  <si>
    <t>Total Cost to Task</t>
  </si>
  <si>
    <t>Average Electricity Cost per day</t>
  </si>
  <si>
    <t>Plant Electricity Cost per hour</t>
  </si>
  <si>
    <t>Total Production Cost per Day</t>
  </si>
  <si>
    <t>Total Indirect Staff</t>
  </si>
  <si>
    <t>Total Expenditure</t>
  </si>
  <si>
    <t>Total Component cost after Replacement</t>
  </si>
  <si>
    <t>Total Component Cost</t>
  </si>
  <si>
    <t>Time to travel to test machine and back</t>
  </si>
  <si>
    <t>Average Salary per Staff</t>
  </si>
  <si>
    <t>Indirect Cost per Day</t>
  </si>
  <si>
    <t>Total Indirect Cost</t>
  </si>
  <si>
    <t>Total Production per table after 2% failure</t>
  </si>
  <si>
    <t>Total Production per shift after 2% failure rate</t>
  </si>
  <si>
    <t>Extra Details</t>
  </si>
  <si>
    <t xml:space="preserve">Making of TrackR with Fail Rate ( Rainy Day ) </t>
  </si>
  <si>
    <t>Column1</t>
  </si>
  <si>
    <t>Total Time to assemble in mins</t>
  </si>
  <si>
    <t>Total time to pick up in mins</t>
  </si>
  <si>
    <t>Making a TrackR without considering the Fail Rate</t>
  </si>
  <si>
    <t>Sunny Day Profit and Loss Sheet</t>
  </si>
  <si>
    <t>Rainy Day Profit and Loss Sheet</t>
  </si>
  <si>
    <t>Reliability</t>
  </si>
  <si>
    <t>Total 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</si>
</sst>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"/>
    <numFmt numFmtId="165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2"/>
    <xf numFmtId="9" fontId="0" fillId="0" borderId="0" xfId="3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12"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953FD-9C3E-4644-8C09-9CE88FFD363F}" name="Table1" displayName="Table1" ref="A3:H43" totalsRowShown="0">
  <autoFilter ref="A3:H43" xr:uid="{F996D4B8-895B-4A3D-A760-11DB80A1677E}"/>
  <tableColumns count="8">
    <tableColumn id="1" xr3:uid="{08CB9E26-A358-42C7-B9EF-B602B04C92C6}" name="Product"/>
    <tableColumn id="2" xr3:uid="{172B144B-8834-4C77-8C95-4BCE41B31374}" name="Time taken to travel"/>
    <tableColumn id="3" xr3:uid="{1BE64562-EEB6-4174-AA21-7AA11DB99896}" name="Fail Rate"/>
    <tableColumn id="4" xr3:uid="{EC7245C8-5168-42F0-92F2-5C147EFC1575}" name="Time"/>
    <tableColumn id="5" xr3:uid="{8531D34C-2363-4983-BD77-048503865DB0}" name="Total Time"/>
    <tableColumn id="6" xr3:uid="{9E6FBB2B-2488-4FB0-84C8-1522A67AE877}" name="Column1"/>
    <tableColumn id="7" xr3:uid="{89810D46-76F8-40B0-91A1-2469F574C00F}" name="Component Cost"/>
    <tableColumn id="8" xr3:uid="{C984A8DA-D1A7-4D79-8A67-73E9058B5FE2}" name="Total Component cost after Re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3BDEAD-0262-4FFC-A26A-9CFD5E3BE9EE}" name="Table2" displayName="Table2" ref="A3:E27" totalsRowShown="0">
  <autoFilter ref="A3:E27" xr:uid="{43FA5612-65E3-4BD4-841B-0A449C220E02}"/>
  <tableColumns count="5">
    <tableColumn id="1" xr3:uid="{2C31D1FE-2F78-4E75-8DCB-E804D3C05472}" name="Products"/>
    <tableColumn id="2" xr3:uid="{9FF5C753-F517-4D1B-A9DC-4DDAFFC333D4}" name="Time taken to travel"/>
    <tableColumn id="3" xr3:uid="{11CE36D7-AF14-4301-B2AB-478937B50743}" name="Fail Rate"/>
    <tableColumn id="4" xr3:uid="{005A73DC-49CF-4E4D-A06A-3D337CC32108}" name="Time"/>
    <tableColumn id="5" xr3:uid="{C7998C75-BAD0-446D-846C-DB5D64A54833}" name="Time in minu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68FF4E-29AC-47EB-A104-48AE13A6E989}" name="Table5" displayName="Table5" ref="A1:B14" totalsRowShown="0">
  <autoFilter ref="A1:B14" xr:uid="{0E213EBC-C041-4A9D-BEA1-92831E35B25A}"/>
  <tableColumns count="2">
    <tableColumn id="1" xr3:uid="{C2F249EE-CE93-4934-A2ED-18E6368BD826}" name="Component"/>
    <tableColumn id="2" xr3:uid="{80626778-1912-48DF-A804-D266E2A26A09}" name="Costs" dataDxfId="11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E3FA01-5381-49B6-9C77-7DAE3357D735}" name="Table6" displayName="Table6" ref="A7:R29" totalsRowShown="0">
  <autoFilter ref="A7:R29" xr:uid="{765B9AE4-3EFF-4675-A44F-5EA108E1EB50}"/>
  <tableColumns count="18">
    <tableColumn id="1" xr3:uid="{AADA83C9-8C8B-4571-ABD6-72275728D459}" name="Products"/>
    <tableColumn id="2" xr3:uid="{EC0B9FE0-DABD-4E83-B523-EA5D7897AD80}" name="Duration (s)"/>
    <tableColumn id="3" xr3:uid="{38AB6DB4-FEA0-41C2-98D5-5C9942341AA5}" name="Total Time to Task">
      <calculatedColumnFormula>C7+B8</calculatedColumnFormula>
    </tableColumn>
    <tableColumn id="4" xr3:uid="{232F6620-987A-4701-B651-25EDE5199785}" name="Labour Cost per task" dataDxfId="10">
      <calculatedColumnFormula>B8*$B$4</calculatedColumnFormula>
    </tableColumn>
    <tableColumn id="5" xr3:uid="{A66C9F0C-3737-40B0-8767-95A941EBDA37}" name="Labour cost to task" dataDxfId="9">
      <calculatedColumnFormula>E7+D8</calculatedColumnFormula>
    </tableColumn>
    <tableColumn id="6" xr3:uid="{4F31B4D4-AB5F-4A13-9209-658AEA00F413}" name="Component" dataDxfId="8"/>
    <tableColumn id="7" xr3:uid="{6DDD14FB-C9AE-43F6-BB8C-0A82D2F6BFF7}" name="Product Cost"/>
    <tableColumn id="8" xr3:uid="{29E77D23-AD5C-4188-83A7-3C37B1C7C12A}" name="All total to task" dataDxfId="7">
      <calculatedColumnFormula>H7+G8+D8</calculatedColumnFormula>
    </tableColumn>
    <tableColumn id="9" xr3:uid="{10A3C48D-C076-4DA3-BAAE-80B9595E8C26}" name="Failure Rate"/>
    <tableColumn id="10" xr3:uid="{296EB599-BDBA-456A-8510-06D60134F3A5}" name="Action"/>
    <tableColumn id="11" xr3:uid="{C7A31791-BE6E-440C-B498-575A88BB6D77}" name="Time"/>
    <tableColumn id="12" xr3:uid="{DAE0396E-EECB-463D-A159-70DC03C3A6D3}" name="Labour Cost"/>
    <tableColumn id="13" xr3:uid="{E035595E-9999-4BA1-AEC1-F911C95E77A8}" name="Replacement Cost"/>
    <tableColumn id="14" xr3:uid="{93F48388-8AAD-4498-BDB2-95B23E21826D}" name="Total Time to Repeat">
      <calculatedColumnFormula>N7+K8+B8</calculatedColumnFormula>
    </tableColumn>
    <tableColumn id="15" xr3:uid="{11AA8367-0D00-4BC3-9827-7A6DCAA97B8B}" name="Total Cost Per Task" dataDxfId="6">
      <calculatedColumnFormula>M8+L8+D8+G8</calculatedColumnFormula>
    </tableColumn>
    <tableColumn id="16" xr3:uid="{18CDD71D-724D-4BF7-9D92-D94C1B1B3AEB}" name="Total Cost to Task" dataDxfId="5">
      <calculatedColumnFormula>P7+O8</calculatedColumnFormula>
    </tableColumn>
    <tableColumn id="17" xr3:uid="{45EDCABE-60AD-491A-BBA0-08E00EFD0C94}" name="Reliability" dataDxfId="4" dataCellStyle="Percent"/>
    <tableColumn id="18" xr3:uid="{1524B5D5-0C2A-4227-A8AA-7B733B18EBA3}" name="Total Reliability" dataDxfId="3">
      <calculatedColumnFormula>R7-I8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D450DE-B90C-4EB5-A7FB-EEF2D5A1D204}" name="Table7" displayName="Table7" ref="A33:H102" totalsRowShown="0">
  <autoFilter ref="A33:H102" xr:uid="{199E964E-67B6-4717-BCFA-1E480B9DB651}"/>
  <tableColumns count="8">
    <tableColumn id="1" xr3:uid="{1FD56D6D-AA10-46D1-9CEE-CCA876C08735}" name="Task"/>
    <tableColumn id="2" xr3:uid="{CA5F9853-3627-417C-A81C-2EDDCE4E7FB5}" name="Duration (s)"/>
    <tableColumn id="3" xr3:uid="{A98CDDF8-52E1-450B-81F3-DC001C45C716}" name="Total Time to Task">
      <calculatedColumnFormula>B34+C33</calculatedColumnFormula>
    </tableColumn>
    <tableColumn id="4" xr3:uid="{754A0E8F-8C67-42A5-A80E-F7BC69E7274D}" name="Labour Cost per task" dataDxfId="2">
      <calculatedColumnFormula>B34*$B$4</calculatedColumnFormula>
    </tableColumn>
    <tableColumn id="5" xr3:uid="{45F58F1B-45A1-4F04-9BAB-51CD2254CC52}" name="Labour cost to task" dataDxfId="1">
      <calculatedColumnFormula>D34+E33</calculatedColumnFormula>
    </tableColumn>
    <tableColumn id="6" xr3:uid="{4FAC9224-59C7-4C6E-9CFE-55DBAA8CF5A0}" name="Component"/>
    <tableColumn id="7" xr3:uid="{84787BA7-C9FC-469B-A618-FE62CBA9ECBA}" name="Product Cost"/>
    <tableColumn id="8" xr3:uid="{00AE00CD-B949-4D3D-9131-468D5F0F9164}" name="All total to task" dataDxfId="0">
      <calculatedColumnFormula>E34+G34+H33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041D-FB3C-449A-88A9-E488457EC2EE}">
  <dimension ref="A1:K55"/>
  <sheetViews>
    <sheetView topLeftCell="A22" zoomScale="73" workbookViewId="0">
      <selection activeCell="E47" sqref="E47"/>
    </sheetView>
  </sheetViews>
  <sheetFormatPr defaultRowHeight="14.4" x14ac:dyDescent="0.3"/>
  <cols>
    <col min="1" max="1" width="50.6640625" bestFit="1" customWidth="1"/>
    <col min="2" max="2" width="21.109375" bestFit="1" customWidth="1"/>
    <col min="3" max="3" width="11.109375" bestFit="1" customWidth="1"/>
    <col min="4" max="4" width="13.6640625" bestFit="1" customWidth="1"/>
    <col min="5" max="5" width="12.77734375" bestFit="1" customWidth="1"/>
    <col min="6" max="6" width="11.5546875" bestFit="1" customWidth="1"/>
    <col min="7" max="7" width="18.21875" bestFit="1" customWidth="1"/>
    <col min="8" max="8" width="35.44140625" bestFit="1" customWidth="1"/>
    <col min="9" max="9" width="25.6640625" bestFit="1" customWidth="1"/>
    <col min="10" max="10" width="51.6640625" bestFit="1" customWidth="1"/>
  </cols>
  <sheetData>
    <row r="1" spans="1:11" ht="21" x14ac:dyDescent="0.4">
      <c r="A1" s="14" t="s">
        <v>142</v>
      </c>
      <c r="B1" s="15"/>
      <c r="C1" s="15"/>
      <c r="D1" s="15"/>
      <c r="E1" s="15"/>
      <c r="F1" s="15"/>
      <c r="G1" s="15"/>
      <c r="H1" s="15"/>
      <c r="I1" s="15"/>
      <c r="J1" s="15"/>
    </row>
    <row r="3" spans="1:11" x14ac:dyDescent="0.3">
      <c r="A3" t="s">
        <v>29</v>
      </c>
      <c r="B3" t="s">
        <v>49</v>
      </c>
      <c r="C3" t="s">
        <v>1</v>
      </c>
      <c r="D3" t="s">
        <v>2</v>
      </c>
      <c r="E3" t="s">
        <v>3</v>
      </c>
      <c r="F3" t="s">
        <v>143</v>
      </c>
      <c r="G3" t="s">
        <v>45</v>
      </c>
      <c r="H3" t="s">
        <v>133</v>
      </c>
      <c r="J3" t="s">
        <v>141</v>
      </c>
    </row>
    <row r="4" spans="1:11" x14ac:dyDescent="0.3">
      <c r="A4" t="s">
        <v>0</v>
      </c>
      <c r="D4">
        <v>14</v>
      </c>
    </row>
    <row r="5" spans="1:11" x14ac:dyDescent="0.3">
      <c r="A5" t="s">
        <v>37</v>
      </c>
      <c r="B5">
        <v>42.8</v>
      </c>
      <c r="C5" s="1">
        <v>0.02</v>
      </c>
      <c r="D5" s="3">
        <f>K9+K6+K12+D4+K15</f>
        <v>42.81818181818182</v>
      </c>
      <c r="G5" s="6">
        <f>'Production Cost Range'!G36</f>
        <v>6.61</v>
      </c>
      <c r="H5" s="6">
        <f>G5*2</f>
        <v>13.22</v>
      </c>
      <c r="J5" t="s">
        <v>34</v>
      </c>
      <c r="K5">
        <v>1.1000000000000001</v>
      </c>
    </row>
    <row r="6" spans="1:11" x14ac:dyDescent="0.3">
      <c r="E6">
        <f>D4+(D5*C5)</f>
        <v>14.856363636363636</v>
      </c>
      <c r="H6" s="6">
        <f>(H5*C5)+G5</f>
        <v>6.8744000000000005</v>
      </c>
      <c r="J6" t="s">
        <v>35</v>
      </c>
      <c r="K6">
        <v>3</v>
      </c>
    </row>
    <row r="7" spans="1:11" x14ac:dyDescent="0.3">
      <c r="A7" t="s">
        <v>4</v>
      </c>
      <c r="D7">
        <v>3</v>
      </c>
      <c r="J7" t="s">
        <v>36</v>
      </c>
      <c r="K7">
        <f>13*K6</f>
        <v>39</v>
      </c>
    </row>
    <row r="8" spans="1:11" x14ac:dyDescent="0.3">
      <c r="A8" t="s">
        <v>5</v>
      </c>
      <c r="D8">
        <v>7</v>
      </c>
      <c r="J8" t="s">
        <v>38</v>
      </c>
      <c r="K8">
        <v>16.3</v>
      </c>
    </row>
    <row r="9" spans="1:11" x14ac:dyDescent="0.3">
      <c r="A9" t="s">
        <v>11</v>
      </c>
      <c r="D9">
        <v>24</v>
      </c>
      <c r="J9" t="s">
        <v>39</v>
      </c>
      <c r="K9">
        <f>K8/K5</f>
        <v>14.818181818181818</v>
      </c>
    </row>
    <row r="10" spans="1:11" x14ac:dyDescent="0.3">
      <c r="A10" t="s">
        <v>6</v>
      </c>
      <c r="D10">
        <f>2+K16</f>
        <v>16.5</v>
      </c>
      <c r="J10" t="s">
        <v>40</v>
      </c>
      <c r="K10">
        <v>7</v>
      </c>
    </row>
    <row r="11" spans="1:11" x14ac:dyDescent="0.3">
      <c r="A11" t="s">
        <v>7</v>
      </c>
      <c r="B11">
        <f>K9+(K6*3)+K12+(K15*3)</f>
        <v>40.81818181818182</v>
      </c>
      <c r="C11" s="4">
        <v>5.1999999999999998E-2</v>
      </c>
      <c r="D11">
        <f>((SUM(D7:D10)+B11))</f>
        <v>91.318181818181813</v>
      </c>
      <c r="G11" s="9">
        <f>'Production Cost Range'!G43</f>
        <v>9.6900000000000013</v>
      </c>
      <c r="H11" s="9">
        <f>G11*2</f>
        <v>19.380000000000003</v>
      </c>
      <c r="J11" t="s">
        <v>41</v>
      </c>
      <c r="K11">
        <f>K10*K13</f>
        <v>420</v>
      </c>
    </row>
    <row r="12" spans="1:11" x14ac:dyDescent="0.3">
      <c r="E12">
        <f>SUM(D7:D10)+(D11*C11)</f>
        <v>55.24854545454545</v>
      </c>
      <c r="H12" s="9">
        <f>(H11*C11)+G11</f>
        <v>10.697760000000001</v>
      </c>
      <c r="J12" t="s">
        <v>48</v>
      </c>
      <c r="K12">
        <v>8</v>
      </c>
    </row>
    <row r="13" spans="1:11" x14ac:dyDescent="0.3">
      <c r="A13" t="s">
        <v>8</v>
      </c>
      <c r="D13">
        <v>6.6</v>
      </c>
      <c r="J13" t="s">
        <v>89</v>
      </c>
      <c r="K13">
        <v>60</v>
      </c>
    </row>
    <row r="14" spans="1:11" x14ac:dyDescent="0.3">
      <c r="A14" t="s">
        <v>9</v>
      </c>
      <c r="D14">
        <v>20</v>
      </c>
      <c r="J14" t="s">
        <v>86</v>
      </c>
      <c r="K14">
        <v>3</v>
      </c>
    </row>
    <row r="15" spans="1:11" x14ac:dyDescent="0.3">
      <c r="A15" t="s">
        <v>10</v>
      </c>
      <c r="D15">
        <v>30</v>
      </c>
      <c r="J15" t="s">
        <v>117</v>
      </c>
      <c r="K15">
        <v>3</v>
      </c>
    </row>
    <row r="16" spans="1:11" x14ac:dyDescent="0.3">
      <c r="A16" t="s">
        <v>12</v>
      </c>
      <c r="B16">
        <f>K9+(K6*2)+8+(K15*2)+K16</f>
        <v>49.31818181818182</v>
      </c>
      <c r="C16" s="1">
        <v>0.02</v>
      </c>
      <c r="D16">
        <f>11+6.6+20+30+B16</f>
        <v>116.91818181818181</v>
      </c>
      <c r="G16" s="9">
        <f>'Production Cost Range'!G54</f>
        <v>18.990000000000002</v>
      </c>
      <c r="H16" s="9">
        <f>G16*2</f>
        <v>37.980000000000004</v>
      </c>
      <c r="J16" t="s">
        <v>135</v>
      </c>
      <c r="K16">
        <v>14.5</v>
      </c>
    </row>
    <row r="17" spans="1:8" x14ac:dyDescent="0.3">
      <c r="E17">
        <f>SUM(D13:D15)+(D16*C16)</f>
        <v>58.93836363636364</v>
      </c>
      <c r="H17" s="9">
        <f>(C16*H16)+G16</f>
        <v>19.749600000000001</v>
      </c>
    </row>
    <row r="18" spans="1:8" x14ac:dyDescent="0.3">
      <c r="A18" t="s">
        <v>13</v>
      </c>
      <c r="D18">
        <v>12</v>
      </c>
    </row>
    <row r="19" spans="1:8" x14ac:dyDescent="0.3">
      <c r="A19" t="s">
        <v>14</v>
      </c>
      <c r="D19">
        <v>6</v>
      </c>
    </row>
    <row r="20" spans="1:8" x14ac:dyDescent="0.3">
      <c r="A20" t="s">
        <v>15</v>
      </c>
      <c r="D20">
        <v>2</v>
      </c>
    </row>
    <row r="21" spans="1:8" x14ac:dyDescent="0.3">
      <c r="A21" t="s">
        <v>16</v>
      </c>
      <c r="B21">
        <f>K9+(K6*3)+(K15*3)+K16</f>
        <v>47.31818181818182</v>
      </c>
      <c r="C21" s="4">
        <v>7.4999999999999997E-2</v>
      </c>
      <c r="D21">
        <f>14+K12+B21+SUM(D18:D20)</f>
        <v>89.318181818181813</v>
      </c>
      <c r="G21" s="9">
        <f>'Production Cost Range'!G64</f>
        <v>5.03</v>
      </c>
      <c r="H21" s="9">
        <f>G21*2</f>
        <v>10.06</v>
      </c>
    </row>
    <row r="22" spans="1:8" x14ac:dyDescent="0.3">
      <c r="E22">
        <f>SUM(D18:D20)+(D21*C21)</f>
        <v>26.698863636363637</v>
      </c>
      <c r="H22" s="9">
        <f>(C21*H21)+G21</f>
        <v>5.7845000000000004</v>
      </c>
    </row>
    <row r="23" spans="1:8" x14ac:dyDescent="0.3">
      <c r="A23" t="s">
        <v>17</v>
      </c>
      <c r="D23">
        <v>4.4000000000000004</v>
      </c>
    </row>
    <row r="24" spans="1:8" x14ac:dyDescent="0.3">
      <c r="E24">
        <f>D23</f>
        <v>4.4000000000000004</v>
      </c>
    </row>
    <row r="25" spans="1:8" x14ac:dyDescent="0.3">
      <c r="A25" t="s">
        <v>18</v>
      </c>
      <c r="D25">
        <v>8.8000000000000007</v>
      </c>
    </row>
    <row r="26" spans="1:8" x14ac:dyDescent="0.3">
      <c r="A26" t="s">
        <v>19</v>
      </c>
      <c r="D26">
        <v>6</v>
      </c>
    </row>
    <row r="27" spans="1:8" x14ac:dyDescent="0.3">
      <c r="A27" t="s">
        <v>6</v>
      </c>
      <c r="D27">
        <v>2</v>
      </c>
      <c r="G27" s="9"/>
    </row>
    <row r="28" spans="1:8" x14ac:dyDescent="0.3">
      <c r="E28">
        <f>SUM(D25:D27)</f>
        <v>16.8</v>
      </c>
    </row>
    <row r="29" spans="1:8" x14ac:dyDescent="0.3">
      <c r="A29" t="s">
        <v>20</v>
      </c>
      <c r="D29">
        <v>1.2</v>
      </c>
    </row>
    <row r="30" spans="1:8" x14ac:dyDescent="0.3">
      <c r="A30" t="s">
        <v>21</v>
      </c>
      <c r="D30">
        <v>1.2</v>
      </c>
    </row>
    <row r="31" spans="1:8" x14ac:dyDescent="0.3">
      <c r="E31">
        <f>D29+D30</f>
        <v>2.4</v>
      </c>
    </row>
    <row r="32" spans="1:8" x14ac:dyDescent="0.3">
      <c r="A32" t="s">
        <v>22</v>
      </c>
      <c r="D32">
        <v>12</v>
      </c>
    </row>
    <row r="33" spans="1:8" x14ac:dyDescent="0.3">
      <c r="A33" t="s">
        <v>23</v>
      </c>
      <c r="B33">
        <f>K9+(K6*10)+(K15*10)+K16</f>
        <v>89.318181818181813</v>
      </c>
      <c r="C33" s="1">
        <v>0.03</v>
      </c>
      <c r="D33">
        <f>SUM(E6:E31)+K12+B33</f>
        <v>276.66031818181818</v>
      </c>
      <c r="G33" s="9">
        <f>'Production Cost Range'!M25</f>
        <v>55.02</v>
      </c>
      <c r="H33" s="9">
        <f>G33*2</f>
        <v>110.04</v>
      </c>
    </row>
    <row r="34" spans="1:8" x14ac:dyDescent="0.3">
      <c r="E34">
        <f>12+(D33*C33)</f>
        <v>20.299809545454544</v>
      </c>
      <c r="H34" s="9">
        <f>(C33*H33)+G33</f>
        <v>58.321200000000005</v>
      </c>
    </row>
    <row r="35" spans="1:8" x14ac:dyDescent="0.3">
      <c r="A35" t="s">
        <v>24</v>
      </c>
      <c r="D35">
        <v>8</v>
      </c>
    </row>
    <row r="36" spans="1:8" x14ac:dyDescent="0.3">
      <c r="E36">
        <f>D35</f>
        <v>8</v>
      </c>
    </row>
    <row r="37" spans="1:8" x14ac:dyDescent="0.3">
      <c r="A37" t="s">
        <v>25</v>
      </c>
      <c r="D37">
        <v>13.3</v>
      </c>
    </row>
    <row r="38" spans="1:8" x14ac:dyDescent="0.3">
      <c r="E38">
        <f>D37</f>
        <v>13.3</v>
      </c>
    </row>
    <row r="39" spans="1:8" x14ac:dyDescent="0.3">
      <c r="A39" t="s">
        <v>26</v>
      </c>
      <c r="D39">
        <v>10</v>
      </c>
    </row>
    <row r="40" spans="1:8" x14ac:dyDescent="0.3">
      <c r="A40" t="s">
        <v>27</v>
      </c>
      <c r="B40">
        <f>K9+(K6*3)+K12+(K15*3)+K16</f>
        <v>55.31818181818182</v>
      </c>
      <c r="C40" s="4">
        <v>9.5000000000000001E-2</v>
      </c>
      <c r="D40">
        <f>18+E12+E6+B40</f>
        <v>143.42309090909092</v>
      </c>
      <c r="G40" s="9">
        <f>'Production Cost Range'!M28</f>
        <v>9.6900000000000013</v>
      </c>
      <c r="H40" s="9">
        <f>G40*2</f>
        <v>19.380000000000003</v>
      </c>
    </row>
    <row r="41" spans="1:8" x14ac:dyDescent="0.3">
      <c r="E41">
        <f>D39+(D40*C40)</f>
        <v>23.625193636363637</v>
      </c>
      <c r="H41" s="9">
        <f>(C40*H40)+G40</f>
        <v>11.531100000000002</v>
      </c>
    </row>
    <row r="42" spans="1:8" x14ac:dyDescent="0.3">
      <c r="A42" t="s">
        <v>28</v>
      </c>
      <c r="D42">
        <v>40</v>
      </c>
    </row>
    <row r="43" spans="1:8" x14ac:dyDescent="0.3">
      <c r="E43">
        <f>D42</f>
        <v>40</v>
      </c>
    </row>
    <row r="45" spans="1:8" x14ac:dyDescent="0.3">
      <c r="A45" t="s">
        <v>30</v>
      </c>
      <c r="E45">
        <f>SUM(E4:E43)</f>
        <v>284.56713954545455</v>
      </c>
    </row>
    <row r="46" spans="1:8" x14ac:dyDescent="0.3">
      <c r="A46" t="s">
        <v>144</v>
      </c>
      <c r="E46" s="2">
        <f>E45/K13</f>
        <v>4.7427856590909094</v>
      </c>
      <c r="F46" s="2"/>
    </row>
    <row r="47" spans="1:8" x14ac:dyDescent="0.3">
      <c r="A47" t="s">
        <v>31</v>
      </c>
      <c r="E47">
        <f>168.18+24/1.3</f>
        <v>186.64153846153846</v>
      </c>
    </row>
    <row r="48" spans="1:8" x14ac:dyDescent="0.3">
      <c r="A48" t="s">
        <v>145</v>
      </c>
      <c r="E48" s="2">
        <f>E47/K13</f>
        <v>3.1106923076923079</v>
      </c>
      <c r="F48" s="2"/>
    </row>
    <row r="49" spans="1:11" x14ac:dyDescent="0.3">
      <c r="A49" t="s">
        <v>32</v>
      </c>
      <c r="E49">
        <f>K11/E46</f>
        <v>88.555551565976742</v>
      </c>
    </row>
    <row r="50" spans="1:11" x14ac:dyDescent="0.3">
      <c r="A50" t="s">
        <v>33</v>
      </c>
      <c r="E50">
        <f>E49*K14</f>
        <v>265.6666546979302</v>
      </c>
    </row>
    <row r="52" spans="1:11" x14ac:dyDescent="0.3">
      <c r="A52" t="s">
        <v>134</v>
      </c>
      <c r="E52" s="9">
        <f>SUM(H41,H34,H22,H17,H12,H6)</f>
        <v>112.95856000000001</v>
      </c>
      <c r="K52" s="9"/>
    </row>
    <row r="53" spans="1:11" x14ac:dyDescent="0.3">
      <c r="E53" s="9"/>
    </row>
    <row r="54" spans="1:11" x14ac:dyDescent="0.3">
      <c r="A54" t="s">
        <v>139</v>
      </c>
      <c r="E54">
        <f>E49-(E49*2%)</f>
        <v>86.784440534657207</v>
      </c>
    </row>
    <row r="55" spans="1:11" x14ac:dyDescent="0.3">
      <c r="A55" t="s">
        <v>140</v>
      </c>
      <c r="E55">
        <f>E54*K14</f>
        <v>260.35332160397161</v>
      </c>
    </row>
  </sheetData>
  <mergeCells count="1">
    <mergeCell ref="A1:J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3A59-8A14-444D-B380-2654F93BB111}">
  <dimension ref="A1:I30"/>
  <sheetViews>
    <sheetView zoomScale="73" workbookViewId="0">
      <selection activeCell="H24" sqref="H24"/>
    </sheetView>
  </sheetViews>
  <sheetFormatPr defaultRowHeight="14.4" x14ac:dyDescent="0.3"/>
  <cols>
    <col min="1" max="1" width="50.6640625" bestFit="1" customWidth="1"/>
    <col min="2" max="2" width="19.88671875" customWidth="1"/>
    <col min="3" max="3" width="11.109375" bestFit="1" customWidth="1"/>
    <col min="4" max="4" width="13.6640625" bestFit="1" customWidth="1"/>
    <col min="5" max="5" width="16.44140625" customWidth="1"/>
    <col min="8" max="8" width="35.77734375" bestFit="1" customWidth="1"/>
  </cols>
  <sheetData>
    <row r="1" spans="1:9" ht="21" x14ac:dyDescent="0.4">
      <c r="A1" s="14" t="s">
        <v>146</v>
      </c>
      <c r="B1" s="14"/>
      <c r="C1" s="14"/>
      <c r="D1" s="14"/>
      <c r="E1" s="14"/>
    </row>
    <row r="3" spans="1:9" x14ac:dyDescent="0.3">
      <c r="A3" t="s">
        <v>87</v>
      </c>
      <c r="B3" t="s">
        <v>49</v>
      </c>
      <c r="C3" t="s">
        <v>1</v>
      </c>
      <c r="D3" t="s">
        <v>2</v>
      </c>
      <c r="E3" t="s">
        <v>88</v>
      </c>
    </row>
    <row r="4" spans="1:9" x14ac:dyDescent="0.3">
      <c r="A4" t="s">
        <v>0</v>
      </c>
      <c r="D4">
        <v>14</v>
      </c>
      <c r="E4">
        <f t="shared" ref="E4:E25" si="0">D4/$I$9</f>
        <v>0.23333333333333334</v>
      </c>
    </row>
    <row r="5" spans="1:9" x14ac:dyDescent="0.3">
      <c r="A5" t="s">
        <v>4</v>
      </c>
      <c r="D5">
        <v>3</v>
      </c>
      <c r="E5">
        <f t="shared" si="0"/>
        <v>0.05</v>
      </c>
    </row>
    <row r="6" spans="1:9" x14ac:dyDescent="0.3">
      <c r="A6" t="s">
        <v>5</v>
      </c>
      <c r="D6">
        <v>7</v>
      </c>
      <c r="E6">
        <f t="shared" si="0"/>
        <v>0.11666666666666667</v>
      </c>
      <c r="H6" t="s">
        <v>141</v>
      </c>
    </row>
    <row r="7" spans="1:9" x14ac:dyDescent="0.3">
      <c r="A7" t="s">
        <v>11</v>
      </c>
      <c r="D7">
        <v>24</v>
      </c>
      <c r="E7">
        <f t="shared" si="0"/>
        <v>0.4</v>
      </c>
    </row>
    <row r="8" spans="1:9" x14ac:dyDescent="0.3">
      <c r="A8" t="s">
        <v>6</v>
      </c>
      <c r="D8">
        <v>2</v>
      </c>
      <c r="E8">
        <f t="shared" si="0"/>
        <v>3.3333333333333333E-2</v>
      </c>
      <c r="H8" t="s">
        <v>40</v>
      </c>
      <c r="I8">
        <v>8</v>
      </c>
    </row>
    <row r="9" spans="1:9" x14ac:dyDescent="0.3">
      <c r="A9" t="s">
        <v>8</v>
      </c>
      <c r="D9">
        <v>6.6</v>
      </c>
      <c r="E9">
        <f t="shared" si="0"/>
        <v>0.11</v>
      </c>
      <c r="H9" t="s">
        <v>85</v>
      </c>
      <c r="I9">
        <v>60</v>
      </c>
    </row>
    <row r="10" spans="1:9" x14ac:dyDescent="0.3">
      <c r="A10" t="s">
        <v>9</v>
      </c>
      <c r="D10">
        <v>20</v>
      </c>
      <c r="E10">
        <f t="shared" si="0"/>
        <v>0.33333333333333331</v>
      </c>
      <c r="H10" t="s">
        <v>86</v>
      </c>
      <c r="I10">
        <v>3</v>
      </c>
    </row>
    <row r="11" spans="1:9" x14ac:dyDescent="0.3">
      <c r="A11" t="s">
        <v>10</v>
      </c>
      <c r="D11">
        <v>30</v>
      </c>
      <c r="E11">
        <f t="shared" si="0"/>
        <v>0.5</v>
      </c>
    </row>
    <row r="12" spans="1:9" x14ac:dyDescent="0.3">
      <c r="A12" t="s">
        <v>13</v>
      </c>
      <c r="D12">
        <v>12</v>
      </c>
      <c r="E12">
        <f t="shared" si="0"/>
        <v>0.2</v>
      </c>
    </row>
    <row r="13" spans="1:9" x14ac:dyDescent="0.3">
      <c r="A13" t="s">
        <v>14</v>
      </c>
      <c r="D13">
        <v>6</v>
      </c>
      <c r="E13">
        <f t="shared" si="0"/>
        <v>0.1</v>
      </c>
    </row>
    <row r="14" spans="1:9" x14ac:dyDescent="0.3">
      <c r="A14" t="s">
        <v>15</v>
      </c>
      <c r="D14">
        <v>2</v>
      </c>
      <c r="E14">
        <f t="shared" si="0"/>
        <v>3.3333333333333333E-2</v>
      </c>
    </row>
    <row r="15" spans="1:9" x14ac:dyDescent="0.3">
      <c r="A15" t="s">
        <v>17</v>
      </c>
      <c r="D15">
        <v>4.4000000000000004</v>
      </c>
      <c r="E15">
        <f t="shared" si="0"/>
        <v>7.3333333333333334E-2</v>
      </c>
    </row>
    <row r="16" spans="1:9" x14ac:dyDescent="0.3">
      <c r="A16" t="s">
        <v>18</v>
      </c>
      <c r="D16">
        <v>8.8000000000000007</v>
      </c>
      <c r="E16">
        <f t="shared" si="0"/>
        <v>0.14666666666666667</v>
      </c>
    </row>
    <row r="17" spans="1:6" x14ac:dyDescent="0.3">
      <c r="A17" t="s">
        <v>19</v>
      </c>
      <c r="D17">
        <v>6</v>
      </c>
      <c r="E17">
        <f t="shared" si="0"/>
        <v>0.1</v>
      </c>
    </row>
    <row r="18" spans="1:6" x14ac:dyDescent="0.3">
      <c r="A18" t="s">
        <v>6</v>
      </c>
      <c r="D18">
        <v>2</v>
      </c>
      <c r="E18">
        <f t="shared" si="0"/>
        <v>3.3333333333333333E-2</v>
      </c>
    </row>
    <row r="19" spans="1:6" x14ac:dyDescent="0.3">
      <c r="A19" t="s">
        <v>20</v>
      </c>
      <c r="D19">
        <v>1.2</v>
      </c>
      <c r="E19">
        <f t="shared" si="0"/>
        <v>0.02</v>
      </c>
    </row>
    <row r="20" spans="1:6" x14ac:dyDescent="0.3">
      <c r="A20" t="s">
        <v>21</v>
      </c>
      <c r="D20">
        <v>1.2</v>
      </c>
      <c r="E20">
        <f t="shared" si="0"/>
        <v>0.02</v>
      </c>
    </row>
    <row r="21" spans="1:6" x14ac:dyDescent="0.3">
      <c r="A21" t="s">
        <v>22</v>
      </c>
      <c r="D21">
        <v>12</v>
      </c>
      <c r="E21">
        <f t="shared" si="0"/>
        <v>0.2</v>
      </c>
    </row>
    <row r="22" spans="1:6" x14ac:dyDescent="0.3">
      <c r="A22" t="s">
        <v>24</v>
      </c>
      <c r="D22">
        <v>8</v>
      </c>
      <c r="E22">
        <f t="shared" si="0"/>
        <v>0.13333333333333333</v>
      </c>
    </row>
    <row r="23" spans="1:6" x14ac:dyDescent="0.3">
      <c r="A23" t="s">
        <v>25</v>
      </c>
      <c r="D23">
        <v>13.3</v>
      </c>
      <c r="E23">
        <f t="shared" si="0"/>
        <v>0.22166666666666668</v>
      </c>
    </row>
    <row r="24" spans="1:6" x14ac:dyDescent="0.3">
      <c r="A24" t="s">
        <v>26</v>
      </c>
      <c r="D24">
        <v>10</v>
      </c>
      <c r="E24">
        <f t="shared" si="0"/>
        <v>0.16666666666666666</v>
      </c>
    </row>
    <row r="25" spans="1:6" x14ac:dyDescent="0.3">
      <c r="A25" t="s">
        <v>28</v>
      </c>
      <c r="D25">
        <v>40</v>
      </c>
      <c r="E25">
        <f t="shared" si="0"/>
        <v>0.66666666666666663</v>
      </c>
    </row>
    <row r="27" spans="1:6" x14ac:dyDescent="0.3">
      <c r="A27" t="s">
        <v>30</v>
      </c>
      <c r="D27">
        <f>SUM(D4:D25)</f>
        <v>233.5</v>
      </c>
      <c r="E27">
        <f>SUM(E4:E25)</f>
        <v>3.8916666666666662</v>
      </c>
      <c r="F27" s="2"/>
    </row>
    <row r="28" spans="1:6" x14ac:dyDescent="0.3">
      <c r="F28" s="2"/>
    </row>
    <row r="29" spans="1:6" x14ac:dyDescent="0.3">
      <c r="A29" t="s">
        <v>32</v>
      </c>
      <c r="D29">
        <f>(I8*I9)/E27</f>
        <v>123.34047109207711</v>
      </c>
    </row>
    <row r="30" spans="1:6" x14ac:dyDescent="0.3">
      <c r="A30" t="s">
        <v>33</v>
      </c>
      <c r="D30">
        <f>D29*I10</f>
        <v>370.02141327623133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0B21-A6CC-4162-9173-0FDCD8371FCA}">
  <dimension ref="A1:L30"/>
  <sheetViews>
    <sheetView zoomScale="70" zoomScaleNormal="70" workbookViewId="0">
      <selection activeCell="B13" sqref="B13"/>
    </sheetView>
  </sheetViews>
  <sheetFormatPr defaultRowHeight="14.4" x14ac:dyDescent="0.3"/>
  <cols>
    <col min="1" max="1" width="39.33203125" bestFit="1" customWidth="1"/>
    <col min="2" max="2" width="13.33203125" bestFit="1" customWidth="1"/>
    <col min="4" max="4" width="64.88671875" bestFit="1" customWidth="1"/>
    <col min="5" max="5" width="12.33203125" bestFit="1" customWidth="1"/>
    <col min="8" max="8" width="39.33203125" bestFit="1" customWidth="1"/>
    <col min="9" max="9" width="11.33203125" bestFit="1" customWidth="1"/>
  </cols>
  <sheetData>
    <row r="1" spans="1:12" ht="21" x14ac:dyDescent="0.4">
      <c r="A1" s="14" t="s">
        <v>147</v>
      </c>
      <c r="B1" s="15"/>
      <c r="C1" s="15"/>
      <c r="D1" s="15"/>
      <c r="E1" s="15"/>
      <c r="F1" s="15"/>
      <c r="G1" s="15"/>
      <c r="H1" s="15"/>
      <c r="I1" s="15"/>
    </row>
    <row r="3" spans="1:12" x14ac:dyDescent="0.3">
      <c r="A3" t="s">
        <v>42</v>
      </c>
      <c r="B3">
        <f>'Making a TrackR'!D27</f>
        <v>233.5</v>
      </c>
      <c r="D3" t="s">
        <v>73</v>
      </c>
      <c r="E3">
        <v>3</v>
      </c>
      <c r="H3" t="s">
        <v>50</v>
      </c>
      <c r="I3" s="5">
        <f>E7*E3</f>
        <v>66</v>
      </c>
    </row>
    <row r="4" spans="1:12" x14ac:dyDescent="0.3">
      <c r="A4" t="s">
        <v>43</v>
      </c>
      <c r="B4" s="2">
        <f>'Making a TrackR'!E27</f>
        <v>3.8916666666666662</v>
      </c>
      <c r="D4" t="s">
        <v>78</v>
      </c>
      <c r="E4">
        <v>3</v>
      </c>
      <c r="H4" t="s">
        <v>52</v>
      </c>
      <c r="I4" s="1">
        <v>0.33</v>
      </c>
    </row>
    <row r="5" spans="1:12" x14ac:dyDescent="0.3">
      <c r="D5" t="s">
        <v>74</v>
      </c>
      <c r="E5">
        <v>3</v>
      </c>
      <c r="H5" t="s">
        <v>53</v>
      </c>
      <c r="I5" s="8">
        <f>(I3*I4)+I3</f>
        <v>87.78</v>
      </c>
    </row>
    <row r="6" spans="1:12" x14ac:dyDescent="0.3">
      <c r="A6" t="s">
        <v>80</v>
      </c>
      <c r="B6">
        <f>'Making a TrackR'!I9</f>
        <v>60</v>
      </c>
      <c r="H6" t="s">
        <v>57</v>
      </c>
      <c r="I6" s="8">
        <f>(I5*E9)*E4</f>
        <v>2106.7200000000003</v>
      </c>
    </row>
    <row r="7" spans="1:12" x14ac:dyDescent="0.3">
      <c r="A7" t="s">
        <v>79</v>
      </c>
      <c r="B7">
        <f>'Making a TrackR'!I8</f>
        <v>8</v>
      </c>
      <c r="D7" t="s">
        <v>75</v>
      </c>
      <c r="E7">
        <v>22</v>
      </c>
      <c r="I7" s="8"/>
    </row>
    <row r="8" spans="1:12" x14ac:dyDescent="0.3">
      <c r="D8" t="s">
        <v>76</v>
      </c>
      <c r="E8">
        <v>25</v>
      </c>
      <c r="I8" s="8"/>
    </row>
    <row r="9" spans="1:12" x14ac:dyDescent="0.3">
      <c r="A9" t="s">
        <v>46</v>
      </c>
      <c r="B9">
        <f>'Making a TrackR'!D29</f>
        <v>123.34047109207711</v>
      </c>
      <c r="D9" t="s">
        <v>77</v>
      </c>
      <c r="E9">
        <v>8</v>
      </c>
      <c r="H9" t="s">
        <v>51</v>
      </c>
      <c r="I9" s="5">
        <f>E8</f>
        <v>25</v>
      </c>
    </row>
    <row r="10" spans="1:12" x14ac:dyDescent="0.3">
      <c r="A10" t="s">
        <v>47</v>
      </c>
      <c r="B10">
        <f>'Making a TrackR'!D30</f>
        <v>370.02141327623133</v>
      </c>
      <c r="H10" t="s">
        <v>54</v>
      </c>
      <c r="I10" s="1">
        <v>0.33</v>
      </c>
      <c r="L10" s="11"/>
    </row>
    <row r="11" spans="1:12" x14ac:dyDescent="0.3">
      <c r="D11" t="s">
        <v>131</v>
      </c>
      <c r="E11">
        <v>16</v>
      </c>
      <c r="H11" t="s">
        <v>55</v>
      </c>
      <c r="I11" s="6">
        <f>(I9*I10)+I9</f>
        <v>33.25</v>
      </c>
    </row>
    <row r="12" spans="1:12" x14ac:dyDescent="0.3">
      <c r="A12" t="s">
        <v>44</v>
      </c>
      <c r="B12" s="5">
        <v>148</v>
      </c>
      <c r="D12" t="s">
        <v>136</v>
      </c>
      <c r="E12" s="8">
        <v>50000</v>
      </c>
      <c r="H12" t="s">
        <v>56</v>
      </c>
      <c r="I12" s="6">
        <f>(I11*E9)*E5</f>
        <v>798</v>
      </c>
    </row>
    <row r="13" spans="1:12" x14ac:dyDescent="0.3">
      <c r="B13" s="6"/>
      <c r="D13" t="s">
        <v>137</v>
      </c>
      <c r="E13" s="9">
        <f>((E12*E11)/12)/30</f>
        <v>2222.2222222222222</v>
      </c>
    </row>
    <row r="14" spans="1:12" x14ac:dyDescent="0.3">
      <c r="A14" t="s">
        <v>45</v>
      </c>
      <c r="B14" s="9">
        <f>'Price of each component'!B14</f>
        <v>93.17</v>
      </c>
      <c r="D14" t="s">
        <v>52</v>
      </c>
      <c r="E14" s="1">
        <v>0.33</v>
      </c>
    </row>
    <row r="15" spans="1:12" x14ac:dyDescent="0.3">
      <c r="A15" t="s">
        <v>58</v>
      </c>
      <c r="B15" s="6">
        <v>10</v>
      </c>
      <c r="E15" s="12"/>
    </row>
    <row r="16" spans="1:12" x14ac:dyDescent="0.3">
      <c r="B16" s="5"/>
      <c r="D16" s="6" t="s">
        <v>138</v>
      </c>
      <c r="E16" s="9">
        <f>(E13*E14)+E13</f>
        <v>2955.5555555555557</v>
      </c>
    </row>
    <row r="17" spans="1:9" x14ac:dyDescent="0.3">
      <c r="A17" t="s">
        <v>82</v>
      </c>
      <c r="B17" s="9">
        <f>SUM(B14:B16)</f>
        <v>103.17</v>
      </c>
      <c r="D17" t="s">
        <v>128</v>
      </c>
      <c r="E17" s="5">
        <f>B18*24</f>
        <v>1080</v>
      </c>
    </row>
    <row r="18" spans="1:9" x14ac:dyDescent="0.3">
      <c r="A18" t="s">
        <v>129</v>
      </c>
      <c r="B18" s="5">
        <v>45</v>
      </c>
      <c r="D18" t="s">
        <v>130</v>
      </c>
      <c r="E18" s="6">
        <f>B17*B10</f>
        <v>38175.109207708789</v>
      </c>
    </row>
    <row r="19" spans="1:9" x14ac:dyDescent="0.3">
      <c r="B19" s="5"/>
      <c r="E19" s="5"/>
    </row>
    <row r="20" spans="1:9" x14ac:dyDescent="0.3">
      <c r="A20" t="s">
        <v>81</v>
      </c>
      <c r="B20" s="6">
        <f>B12*B10</f>
        <v>54763.169164882238</v>
      </c>
      <c r="D20" t="s">
        <v>132</v>
      </c>
      <c r="E20" s="9">
        <f>SUM(E16:E18)+I6+I12</f>
        <v>45115.384763264345</v>
      </c>
    </row>
    <row r="21" spans="1:9" x14ac:dyDescent="0.3">
      <c r="A21" t="s">
        <v>83</v>
      </c>
      <c r="B21" s="6">
        <f>E20</f>
        <v>45115.384763264345</v>
      </c>
    </row>
    <row r="23" spans="1:9" x14ac:dyDescent="0.3">
      <c r="A23" t="s">
        <v>84</v>
      </c>
      <c r="B23" s="6">
        <f>B20-B21</f>
        <v>9647.7844016178933</v>
      </c>
    </row>
    <row r="27" spans="1:9" x14ac:dyDescent="0.3">
      <c r="I27" s="6"/>
    </row>
    <row r="28" spans="1:9" x14ac:dyDescent="0.3">
      <c r="I28" s="9"/>
    </row>
    <row r="30" spans="1:9" x14ac:dyDescent="0.3">
      <c r="I30" s="6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0501-14A6-4573-82E6-9E4D7D0465AB}">
  <dimension ref="A1:L30"/>
  <sheetViews>
    <sheetView tabSelected="1" zoomScale="80" zoomScaleNormal="80" workbookViewId="0">
      <selection activeCell="H19" sqref="H19"/>
    </sheetView>
  </sheetViews>
  <sheetFormatPr defaultRowHeight="14.4" x14ac:dyDescent="0.3"/>
  <cols>
    <col min="1" max="1" width="39.33203125" bestFit="1" customWidth="1"/>
    <col min="2" max="2" width="10.33203125" bestFit="1" customWidth="1"/>
    <col min="4" max="4" width="37.33203125" bestFit="1" customWidth="1"/>
    <col min="5" max="5" width="12.33203125" bestFit="1" customWidth="1"/>
    <col min="8" max="8" width="39.33203125" bestFit="1" customWidth="1"/>
    <col min="9" max="9" width="11.33203125" bestFit="1" customWidth="1"/>
  </cols>
  <sheetData>
    <row r="1" spans="1:12" ht="21" x14ac:dyDescent="0.4">
      <c r="A1" s="14" t="s">
        <v>148</v>
      </c>
      <c r="B1" s="15"/>
      <c r="C1" s="15"/>
      <c r="D1" s="15"/>
      <c r="E1" s="15"/>
      <c r="F1" s="15"/>
      <c r="G1" s="15"/>
      <c r="H1" s="15"/>
      <c r="I1" s="15"/>
    </row>
    <row r="3" spans="1:12" x14ac:dyDescent="0.3">
      <c r="A3" t="s">
        <v>42</v>
      </c>
      <c r="B3">
        <f>'Making a TrackR with fail rate'!E45</f>
        <v>284.56713954545455</v>
      </c>
      <c r="D3" t="s">
        <v>73</v>
      </c>
      <c r="E3">
        <v>3</v>
      </c>
      <c r="G3" t="s">
        <v>50</v>
      </c>
      <c r="H3" s="5">
        <f>E7*E3</f>
        <v>75</v>
      </c>
    </row>
    <row r="4" spans="1:12" x14ac:dyDescent="0.3">
      <c r="A4" t="s">
        <v>43</v>
      </c>
      <c r="B4" s="2">
        <f>'Making a TrackR with fail rate'!E46</f>
        <v>4.7427856590909094</v>
      </c>
      <c r="D4" t="s">
        <v>78</v>
      </c>
      <c r="E4">
        <v>3</v>
      </c>
      <c r="G4" t="s">
        <v>52</v>
      </c>
      <c r="H4" s="1">
        <v>0.33</v>
      </c>
    </row>
    <row r="5" spans="1:12" x14ac:dyDescent="0.3">
      <c r="D5" t="s">
        <v>74</v>
      </c>
      <c r="E5">
        <v>3</v>
      </c>
      <c r="G5" t="s">
        <v>53</v>
      </c>
      <c r="H5" s="8">
        <f>(H3*H4)+H3</f>
        <v>99.75</v>
      </c>
    </row>
    <row r="6" spans="1:12" x14ac:dyDescent="0.3">
      <c r="A6" t="s">
        <v>80</v>
      </c>
      <c r="B6">
        <f>'Making a TrackR'!I9</f>
        <v>60</v>
      </c>
      <c r="G6" t="s">
        <v>57</v>
      </c>
      <c r="H6" s="8">
        <f>(H5*E9)*E4</f>
        <v>2394</v>
      </c>
    </row>
    <row r="7" spans="1:12" x14ac:dyDescent="0.3">
      <c r="A7" t="s">
        <v>79</v>
      </c>
      <c r="B7">
        <f>'Making a TrackR'!I8</f>
        <v>8</v>
      </c>
      <c r="D7" t="s">
        <v>75</v>
      </c>
      <c r="E7">
        <v>25</v>
      </c>
      <c r="H7" s="8"/>
    </row>
    <row r="8" spans="1:12" x14ac:dyDescent="0.3">
      <c r="D8" t="s">
        <v>76</v>
      </c>
      <c r="E8">
        <v>25</v>
      </c>
      <c r="H8" s="8"/>
    </row>
    <row r="9" spans="1:12" x14ac:dyDescent="0.3">
      <c r="A9" t="s">
        <v>46</v>
      </c>
      <c r="B9">
        <f>'Making a TrackR with fail rate'!E54</f>
        <v>86.784440534657207</v>
      </c>
      <c r="D9" t="s">
        <v>77</v>
      </c>
      <c r="E9">
        <v>8</v>
      </c>
      <c r="G9" t="s">
        <v>51</v>
      </c>
      <c r="H9" s="5">
        <f>E8</f>
        <v>25</v>
      </c>
    </row>
    <row r="10" spans="1:12" x14ac:dyDescent="0.3">
      <c r="A10" t="s">
        <v>47</v>
      </c>
      <c r="B10">
        <f>'Making a TrackR with fail rate'!E55</f>
        <v>260.35332160397161</v>
      </c>
      <c r="G10" t="s">
        <v>54</v>
      </c>
      <c r="H10" s="1">
        <v>0.33</v>
      </c>
      <c r="L10" s="7"/>
    </row>
    <row r="11" spans="1:12" x14ac:dyDescent="0.3">
      <c r="D11" t="s">
        <v>131</v>
      </c>
      <c r="E11">
        <v>16</v>
      </c>
      <c r="G11" t="s">
        <v>55</v>
      </c>
      <c r="H11" s="6">
        <f>(H9*H10)+H9</f>
        <v>33.25</v>
      </c>
    </row>
    <row r="12" spans="1:12" x14ac:dyDescent="0.3">
      <c r="A12" t="s">
        <v>44</v>
      </c>
      <c r="B12" s="5">
        <v>148</v>
      </c>
      <c r="D12" t="s">
        <v>136</v>
      </c>
      <c r="E12" s="8">
        <v>50000</v>
      </c>
      <c r="G12" t="s">
        <v>56</v>
      </c>
      <c r="H12" s="6">
        <f>(H11*E9)*E5</f>
        <v>798</v>
      </c>
    </row>
    <row r="13" spans="1:12" x14ac:dyDescent="0.3">
      <c r="B13" s="6"/>
      <c r="D13" t="s">
        <v>137</v>
      </c>
      <c r="E13" s="9">
        <f>((E12*E11)/12)/30</f>
        <v>2222.2222222222222</v>
      </c>
    </row>
    <row r="14" spans="1:12" x14ac:dyDescent="0.3">
      <c r="A14" t="s">
        <v>45</v>
      </c>
      <c r="B14" s="9">
        <f>'Making a TrackR with fail rate'!E52</f>
        <v>112.95856000000001</v>
      </c>
      <c r="D14" t="s">
        <v>52</v>
      </c>
      <c r="E14" s="1">
        <v>0.33</v>
      </c>
    </row>
    <row r="15" spans="1:12" x14ac:dyDescent="0.3">
      <c r="A15" t="s">
        <v>58</v>
      </c>
      <c r="B15" s="6">
        <v>10</v>
      </c>
      <c r="E15" s="12"/>
      <c r="H15" s="6"/>
    </row>
    <row r="16" spans="1:12" x14ac:dyDescent="0.3">
      <c r="B16" s="5"/>
      <c r="D16" s="6" t="s">
        <v>138</v>
      </c>
      <c r="E16" s="9">
        <f>(E13*E14)+E13</f>
        <v>2955.5555555555557</v>
      </c>
    </row>
    <row r="17" spans="1:9" x14ac:dyDescent="0.3">
      <c r="A17" t="s">
        <v>82</v>
      </c>
      <c r="B17" s="9">
        <f>SUM(B14:B16)</f>
        <v>122.95856000000001</v>
      </c>
      <c r="D17" t="s">
        <v>128</v>
      </c>
      <c r="E17" s="5">
        <f>B18*24</f>
        <v>1080</v>
      </c>
    </row>
    <row r="18" spans="1:9" x14ac:dyDescent="0.3">
      <c r="A18" t="s">
        <v>129</v>
      </c>
      <c r="B18" s="5">
        <v>45</v>
      </c>
      <c r="D18" t="s">
        <v>130</v>
      </c>
      <c r="E18" s="6">
        <f>B17*B10</f>
        <v>32012.669515641242</v>
      </c>
    </row>
    <row r="19" spans="1:9" x14ac:dyDescent="0.3">
      <c r="B19" s="5"/>
      <c r="E19" s="5"/>
    </row>
    <row r="20" spans="1:9" x14ac:dyDescent="0.3">
      <c r="A20" t="s">
        <v>81</v>
      </c>
      <c r="B20" s="6">
        <f>B12*B10</f>
        <v>38532.291597387797</v>
      </c>
      <c r="D20" t="s">
        <v>132</v>
      </c>
      <c r="E20" s="9">
        <f>SUM(E16:E18)+H6+H12</f>
        <v>39240.225071196801</v>
      </c>
    </row>
    <row r="21" spans="1:9" x14ac:dyDescent="0.3">
      <c r="A21" t="s">
        <v>83</v>
      </c>
      <c r="B21" s="6">
        <f>E20</f>
        <v>39240.225071196801</v>
      </c>
    </row>
    <row r="23" spans="1:9" x14ac:dyDescent="0.3">
      <c r="A23" t="s">
        <v>84</v>
      </c>
      <c r="B23" s="6">
        <f>B20-B21</f>
        <v>-707.93347380900377</v>
      </c>
    </row>
    <row r="27" spans="1:9" x14ac:dyDescent="0.3">
      <c r="I27" s="6"/>
    </row>
    <row r="28" spans="1:9" x14ac:dyDescent="0.3">
      <c r="I28" s="9"/>
    </row>
    <row r="30" spans="1:9" x14ac:dyDescent="0.3">
      <c r="I30" s="6"/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0FA9-2A88-4E6D-B753-AA99CF631272}">
  <dimension ref="A1:B14"/>
  <sheetViews>
    <sheetView workbookViewId="0">
      <selection sqref="A1:B14"/>
    </sheetView>
  </sheetViews>
  <sheetFormatPr defaultRowHeight="14.4" x14ac:dyDescent="0.3"/>
  <cols>
    <col min="1" max="1" width="14.33203125" bestFit="1" customWidth="1"/>
    <col min="2" max="2" width="7.88671875" bestFit="1" customWidth="1"/>
  </cols>
  <sheetData>
    <row r="1" spans="1:2" x14ac:dyDescent="0.3">
      <c r="A1" t="s">
        <v>59</v>
      </c>
      <c r="B1" t="s">
        <v>60</v>
      </c>
    </row>
    <row r="2" spans="1:2" x14ac:dyDescent="0.3">
      <c r="A2" t="s">
        <v>61</v>
      </c>
      <c r="B2" s="8">
        <v>6.61</v>
      </c>
    </row>
    <row r="3" spans="1:2" x14ac:dyDescent="0.3">
      <c r="A3" t="s">
        <v>62</v>
      </c>
      <c r="B3" s="8">
        <v>0.08</v>
      </c>
    </row>
    <row r="4" spans="1:2" x14ac:dyDescent="0.3">
      <c r="A4" t="s">
        <v>63</v>
      </c>
      <c r="B4" s="8">
        <v>17.420000000000002</v>
      </c>
    </row>
    <row r="5" spans="1:2" x14ac:dyDescent="0.3">
      <c r="A5" t="s">
        <v>64</v>
      </c>
      <c r="B5" s="8">
        <v>14.99</v>
      </c>
    </row>
    <row r="6" spans="1:2" x14ac:dyDescent="0.3">
      <c r="A6" t="s">
        <v>65</v>
      </c>
      <c r="B6" s="8">
        <v>4.1500000000000004</v>
      </c>
    </row>
    <row r="7" spans="1:2" x14ac:dyDescent="0.3">
      <c r="A7" t="s">
        <v>66</v>
      </c>
      <c r="B7" s="8">
        <v>1.89</v>
      </c>
    </row>
    <row r="8" spans="1:2" x14ac:dyDescent="0.3">
      <c r="A8" t="s">
        <v>67</v>
      </c>
      <c r="B8" s="8">
        <v>0.56999999999999995</v>
      </c>
    </row>
    <row r="9" spans="1:2" x14ac:dyDescent="0.3">
      <c r="A9" t="s">
        <v>68</v>
      </c>
      <c r="B9" s="8">
        <v>0.31</v>
      </c>
    </row>
    <row r="10" spans="1:2" x14ac:dyDescent="0.3">
      <c r="A10" t="s">
        <v>69</v>
      </c>
      <c r="B10" s="8">
        <v>38.15</v>
      </c>
    </row>
    <row r="11" spans="1:2" x14ac:dyDescent="0.3">
      <c r="A11" t="s">
        <v>70</v>
      </c>
      <c r="B11" s="8">
        <v>4</v>
      </c>
    </row>
    <row r="12" spans="1:2" x14ac:dyDescent="0.3">
      <c r="A12" t="s">
        <v>71</v>
      </c>
      <c r="B12" s="8">
        <v>2</v>
      </c>
    </row>
    <row r="13" spans="1:2" x14ac:dyDescent="0.3">
      <c r="A13" t="s">
        <v>72</v>
      </c>
      <c r="B13" s="8">
        <v>3</v>
      </c>
    </row>
    <row r="14" spans="1:2" x14ac:dyDescent="0.3">
      <c r="A14" t="s">
        <v>55</v>
      </c>
      <c r="B14" s="10">
        <f>SUM(B2:B13)</f>
        <v>93.17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AE60-3D58-4AC9-9216-6C1B5E77148D}">
  <dimension ref="A1:R102"/>
  <sheetViews>
    <sheetView workbookViewId="0">
      <selection activeCell="B4" sqref="B4"/>
    </sheetView>
  </sheetViews>
  <sheetFormatPr defaultRowHeight="14.4" x14ac:dyDescent="0.3"/>
  <cols>
    <col min="1" max="1" width="50.6640625" bestFit="1" customWidth="1"/>
    <col min="2" max="2" width="14.88671875" customWidth="1"/>
    <col min="3" max="3" width="18.109375" customWidth="1"/>
    <col min="4" max="4" width="21.5546875" bestFit="1" customWidth="1"/>
    <col min="5" max="5" width="18.77734375" customWidth="1"/>
    <col min="6" max="6" width="16.6640625" customWidth="1"/>
    <col min="7" max="7" width="13.6640625" customWidth="1"/>
    <col min="8" max="8" width="15.44140625" customWidth="1"/>
    <col min="9" max="9" width="12.6640625" customWidth="1"/>
    <col min="12" max="12" width="12.88671875" customWidth="1"/>
    <col min="13" max="13" width="18" customWidth="1"/>
    <col min="14" max="14" width="20.21875" customWidth="1"/>
    <col min="15" max="15" width="18.6640625" customWidth="1"/>
    <col min="16" max="16" width="17.6640625" customWidth="1"/>
    <col min="17" max="17" width="11" customWidth="1"/>
    <col min="18" max="18" width="15.6640625" customWidth="1"/>
  </cols>
  <sheetData>
    <row r="1" spans="1:18" x14ac:dyDescent="0.3">
      <c r="A1" t="s">
        <v>91</v>
      </c>
      <c r="B1" s="6">
        <v>20</v>
      </c>
      <c r="D1" t="s">
        <v>94</v>
      </c>
      <c r="E1">
        <f>60*60</f>
        <v>3600</v>
      </c>
    </row>
    <row r="2" spans="1:18" x14ac:dyDescent="0.3">
      <c r="A2" t="s">
        <v>92</v>
      </c>
      <c r="B2">
        <v>3</v>
      </c>
    </row>
    <row r="3" spans="1:18" x14ac:dyDescent="0.3">
      <c r="A3" t="s">
        <v>90</v>
      </c>
      <c r="B3" s="6">
        <f>B1*B2</f>
        <v>60</v>
      </c>
    </row>
    <row r="4" spans="1:18" x14ac:dyDescent="0.3">
      <c r="A4" t="s">
        <v>93</v>
      </c>
      <c r="B4" s="6">
        <f>B3/E1</f>
        <v>1.6666666666666666E-2</v>
      </c>
    </row>
    <row r="5" spans="1:18" x14ac:dyDescent="0.3">
      <c r="B5" s="6"/>
    </row>
    <row r="7" spans="1:18" x14ac:dyDescent="0.3">
      <c r="A7" t="s">
        <v>87</v>
      </c>
      <c r="B7" t="s">
        <v>95</v>
      </c>
      <c r="C7" t="s">
        <v>96</v>
      </c>
      <c r="D7" t="s">
        <v>97</v>
      </c>
      <c r="E7" t="s">
        <v>98</v>
      </c>
      <c r="F7" t="s">
        <v>59</v>
      </c>
      <c r="G7" t="s">
        <v>100</v>
      </c>
      <c r="H7" t="s">
        <v>101</v>
      </c>
      <c r="I7" t="s">
        <v>102</v>
      </c>
      <c r="J7" t="s">
        <v>103</v>
      </c>
      <c r="K7" t="s">
        <v>2</v>
      </c>
      <c r="L7" t="s">
        <v>104</v>
      </c>
      <c r="M7" t="s">
        <v>105</v>
      </c>
      <c r="N7" t="s">
        <v>118</v>
      </c>
      <c r="O7" t="s">
        <v>126</v>
      </c>
      <c r="P7" t="s">
        <v>127</v>
      </c>
      <c r="Q7" t="s">
        <v>149</v>
      </c>
      <c r="R7" t="s">
        <v>150</v>
      </c>
    </row>
    <row r="8" spans="1:18" x14ac:dyDescent="0.3">
      <c r="A8" t="s">
        <v>0</v>
      </c>
      <c r="B8">
        <v>14</v>
      </c>
      <c r="C8">
        <f>B8</f>
        <v>14</v>
      </c>
      <c r="D8" s="6">
        <f>B8*$B$4</f>
        <v>0.23333333333333334</v>
      </c>
      <c r="E8" s="6">
        <f>D8</f>
        <v>0.23333333333333334</v>
      </c>
      <c r="F8" t="s">
        <v>61</v>
      </c>
      <c r="G8">
        <f>VLOOKUP(F8,'Price of each component'!$A$2:$B$14,2,FALSE)</f>
        <v>6.61</v>
      </c>
      <c r="H8" s="6">
        <f>G8+D8</f>
        <v>6.8433333333333337</v>
      </c>
      <c r="I8" s="1">
        <v>0.02</v>
      </c>
      <c r="J8" t="s">
        <v>106</v>
      </c>
      <c r="K8">
        <f>C38</f>
        <v>42.81818181818182</v>
      </c>
      <c r="L8" s="6">
        <f>E38</f>
        <v>0.71363636363636362</v>
      </c>
      <c r="M8" s="6">
        <f>G36</f>
        <v>6.61</v>
      </c>
      <c r="N8">
        <f>B8+K8</f>
        <v>56.81818181818182</v>
      </c>
      <c r="O8" s="6">
        <f>M8+L8+D8+G8</f>
        <v>14.166969696969698</v>
      </c>
      <c r="P8" s="6">
        <f>O8</f>
        <v>14.166969696969698</v>
      </c>
      <c r="Q8" s="13">
        <v>0.98</v>
      </c>
      <c r="R8" s="4">
        <f>(100%-I8)</f>
        <v>0.98</v>
      </c>
    </row>
    <row r="9" spans="1:18" x14ac:dyDescent="0.3">
      <c r="A9" t="s">
        <v>4</v>
      </c>
      <c r="B9">
        <v>3</v>
      </c>
      <c r="C9">
        <f>C8+B9</f>
        <v>17</v>
      </c>
      <c r="D9" s="6">
        <f t="shared" ref="D9:D28" si="0">B9*$B$4</f>
        <v>0.05</v>
      </c>
      <c r="E9" s="6">
        <f>E8+D9</f>
        <v>0.28333333333333333</v>
      </c>
      <c r="F9" t="s">
        <v>62</v>
      </c>
      <c r="G9">
        <f>VLOOKUP(F9,'Price of each component'!$A$2:$B$14,2,FALSE)</f>
        <v>0.08</v>
      </c>
      <c r="H9" s="6">
        <f>H8+G9+D9</f>
        <v>6.9733333333333336</v>
      </c>
      <c r="N9">
        <f>N8+K9+B9</f>
        <v>59.81818181818182</v>
      </c>
      <c r="O9" s="6">
        <f>M9+L9+D9+G9</f>
        <v>0.13</v>
      </c>
      <c r="P9" s="6">
        <f>P8+O9</f>
        <v>14.296969696969699</v>
      </c>
      <c r="Q9" s="13">
        <v>1</v>
      </c>
      <c r="R9" s="4">
        <f>R8-I9</f>
        <v>0.98</v>
      </c>
    </row>
    <row r="10" spans="1:18" x14ac:dyDescent="0.3">
      <c r="A10" t="s">
        <v>99</v>
      </c>
      <c r="B10">
        <v>7</v>
      </c>
      <c r="C10">
        <f t="shared" ref="C10:C29" si="1">C9+B10</f>
        <v>24</v>
      </c>
      <c r="D10" s="6">
        <f t="shared" si="0"/>
        <v>0.11666666666666667</v>
      </c>
      <c r="E10" s="6">
        <f t="shared" ref="E10:E29" si="2">E9+D10</f>
        <v>0.4</v>
      </c>
      <c r="F10" s="6" t="s">
        <v>72</v>
      </c>
      <c r="G10">
        <f>VLOOKUP(F10,'Price of each component'!$A$2:$B$14,2,FALSE)</f>
        <v>3</v>
      </c>
      <c r="H10" s="6">
        <f t="shared" ref="H10:H29" si="3">H9+G10+D10</f>
        <v>10.09</v>
      </c>
      <c r="N10">
        <f t="shared" ref="N10:N29" si="4">N9+K10+B10</f>
        <v>66.818181818181813</v>
      </c>
      <c r="O10" s="6">
        <f t="shared" ref="O10:O29" si="5">M10+L10+D10+G10</f>
        <v>3.1166666666666667</v>
      </c>
      <c r="P10" s="6">
        <f t="shared" ref="P10:P29" si="6">P9+O10</f>
        <v>17.413636363636364</v>
      </c>
      <c r="Q10" s="13">
        <v>1</v>
      </c>
      <c r="R10" s="4">
        <f t="shared" ref="R10:R29" si="7">R9-I10</f>
        <v>0.98</v>
      </c>
    </row>
    <row r="11" spans="1:18" x14ac:dyDescent="0.3">
      <c r="A11" t="s">
        <v>11</v>
      </c>
      <c r="B11">
        <v>24</v>
      </c>
      <c r="C11">
        <f t="shared" si="1"/>
        <v>48</v>
      </c>
      <c r="D11" s="6">
        <f t="shared" si="0"/>
        <v>0.4</v>
      </c>
      <c r="E11" s="6">
        <f t="shared" si="2"/>
        <v>0.8</v>
      </c>
      <c r="F11" s="6"/>
      <c r="G11">
        <v>0</v>
      </c>
      <c r="H11" s="6">
        <f t="shared" si="3"/>
        <v>10.49</v>
      </c>
      <c r="N11">
        <f t="shared" si="4"/>
        <v>90.818181818181813</v>
      </c>
      <c r="O11" s="6">
        <f t="shared" si="5"/>
        <v>0.4</v>
      </c>
      <c r="P11" s="6">
        <f t="shared" si="6"/>
        <v>17.813636363636363</v>
      </c>
      <c r="Q11" s="13">
        <v>1</v>
      </c>
      <c r="R11" s="4">
        <f t="shared" si="7"/>
        <v>0.98</v>
      </c>
    </row>
    <row r="12" spans="1:18" x14ac:dyDescent="0.3">
      <c r="A12" t="s">
        <v>6</v>
      </c>
      <c r="B12">
        <v>2</v>
      </c>
      <c r="C12">
        <f t="shared" si="1"/>
        <v>50</v>
      </c>
      <c r="D12" s="6">
        <f t="shared" si="0"/>
        <v>3.3333333333333333E-2</v>
      </c>
      <c r="E12" s="6">
        <f t="shared" si="2"/>
        <v>0.83333333333333337</v>
      </c>
      <c r="F12" s="6"/>
      <c r="G12">
        <v>0</v>
      </c>
      <c r="H12" s="6">
        <f t="shared" si="3"/>
        <v>10.523333333333333</v>
      </c>
      <c r="I12" s="4">
        <v>5.1999999999999998E-2</v>
      </c>
      <c r="J12" t="s">
        <v>108</v>
      </c>
      <c r="K12">
        <f>C49</f>
        <v>83.418181818181807</v>
      </c>
      <c r="L12" s="6">
        <f>E49</f>
        <v>1.3903030303030306</v>
      </c>
      <c r="M12" s="9">
        <f>G43</f>
        <v>9.6900000000000013</v>
      </c>
      <c r="N12">
        <f t="shared" si="4"/>
        <v>176.23636363636362</v>
      </c>
      <c r="O12" s="6">
        <f t="shared" si="5"/>
        <v>11.113636363636365</v>
      </c>
      <c r="P12" s="6">
        <f t="shared" si="6"/>
        <v>28.927272727272729</v>
      </c>
      <c r="Q12" s="13">
        <v>0.94799999999999995</v>
      </c>
      <c r="R12" s="4">
        <f t="shared" si="7"/>
        <v>0.92799999999999994</v>
      </c>
    </row>
    <row r="13" spans="1:18" x14ac:dyDescent="0.3">
      <c r="A13" t="s">
        <v>8</v>
      </c>
      <c r="B13">
        <v>6.6</v>
      </c>
      <c r="C13">
        <f t="shared" si="1"/>
        <v>56.6</v>
      </c>
      <c r="D13" s="6">
        <f t="shared" si="0"/>
        <v>0.10999999999999999</v>
      </c>
      <c r="E13" s="6">
        <f t="shared" si="2"/>
        <v>0.94333333333333336</v>
      </c>
      <c r="F13" s="6" t="s">
        <v>70</v>
      </c>
      <c r="G13">
        <f>VLOOKUP(F13,'Price of each component'!$A$2:$B$14,2,FALSE)</f>
        <v>4</v>
      </c>
      <c r="H13" s="6">
        <f t="shared" si="3"/>
        <v>14.633333333333333</v>
      </c>
      <c r="N13">
        <f t="shared" si="4"/>
        <v>182.83636363636361</v>
      </c>
      <c r="O13" s="6">
        <f t="shared" si="5"/>
        <v>4.1100000000000003</v>
      </c>
      <c r="P13" s="6">
        <f t="shared" si="6"/>
        <v>33.037272727272729</v>
      </c>
      <c r="Q13" s="13">
        <v>1</v>
      </c>
      <c r="R13" s="4">
        <f t="shared" si="7"/>
        <v>0.92799999999999994</v>
      </c>
    </row>
    <row r="14" spans="1:18" x14ac:dyDescent="0.3">
      <c r="A14" t="s">
        <v>9</v>
      </c>
      <c r="B14">
        <v>20</v>
      </c>
      <c r="C14">
        <f t="shared" si="1"/>
        <v>76.599999999999994</v>
      </c>
      <c r="D14" s="6">
        <f t="shared" si="0"/>
        <v>0.33333333333333331</v>
      </c>
      <c r="E14" s="6">
        <f t="shared" si="2"/>
        <v>1.2766666666666666</v>
      </c>
      <c r="F14" t="s">
        <v>64</v>
      </c>
      <c r="G14">
        <f>VLOOKUP(F14,'Price of each component'!$A$2:$B$14,2,FALSE)</f>
        <v>14.99</v>
      </c>
      <c r="H14" s="6">
        <f t="shared" si="3"/>
        <v>29.956666666666667</v>
      </c>
      <c r="N14">
        <f t="shared" si="4"/>
        <v>202.83636363636361</v>
      </c>
      <c r="O14" s="6">
        <f t="shared" si="5"/>
        <v>15.323333333333334</v>
      </c>
      <c r="P14" s="6">
        <f t="shared" si="6"/>
        <v>48.360606060606059</v>
      </c>
      <c r="Q14" s="13">
        <v>1</v>
      </c>
      <c r="R14" s="4">
        <f t="shared" si="7"/>
        <v>0.92799999999999994</v>
      </c>
    </row>
    <row r="15" spans="1:18" x14ac:dyDescent="0.3">
      <c r="A15" t="s">
        <v>10</v>
      </c>
      <c r="B15">
        <v>30</v>
      </c>
      <c r="C15">
        <f t="shared" si="1"/>
        <v>106.6</v>
      </c>
      <c r="D15" s="6">
        <f t="shared" si="0"/>
        <v>0.5</v>
      </c>
      <c r="E15" s="6">
        <f t="shared" si="2"/>
        <v>1.7766666666666666</v>
      </c>
      <c r="F15" s="6"/>
      <c r="G15">
        <v>0</v>
      </c>
      <c r="H15" s="6">
        <f t="shared" si="3"/>
        <v>30.456666666666667</v>
      </c>
      <c r="I15" s="1">
        <v>0.02</v>
      </c>
      <c r="J15" t="s">
        <v>107</v>
      </c>
      <c r="K15">
        <f>C59</f>
        <v>102.41818181818182</v>
      </c>
      <c r="L15" s="6">
        <f>E59</f>
        <v>1.706969696969697</v>
      </c>
      <c r="M15" s="9">
        <f>G54</f>
        <v>18.990000000000002</v>
      </c>
      <c r="N15">
        <f t="shared" si="4"/>
        <v>335.25454545454545</v>
      </c>
      <c r="O15" s="6">
        <f t="shared" si="5"/>
        <v>21.196969696969699</v>
      </c>
      <c r="P15" s="6">
        <f t="shared" si="6"/>
        <v>69.557575757575762</v>
      </c>
      <c r="Q15" s="13">
        <v>0.98</v>
      </c>
      <c r="R15" s="4">
        <f t="shared" si="7"/>
        <v>0.90799999999999992</v>
      </c>
    </row>
    <row r="16" spans="1:18" x14ac:dyDescent="0.3">
      <c r="A16" t="s">
        <v>13</v>
      </c>
      <c r="B16">
        <v>12</v>
      </c>
      <c r="C16">
        <f t="shared" si="1"/>
        <v>118.6</v>
      </c>
      <c r="D16" s="6">
        <f t="shared" si="0"/>
        <v>0.2</v>
      </c>
      <c r="E16" s="6">
        <f t="shared" si="2"/>
        <v>1.9766666666666666</v>
      </c>
      <c r="F16" s="6" t="s">
        <v>67</v>
      </c>
      <c r="G16">
        <f>VLOOKUP(F16,'Price of each component'!$A$2:$B$14,2,FALSE)</f>
        <v>0.56999999999999995</v>
      </c>
      <c r="H16" s="6">
        <f t="shared" si="3"/>
        <v>31.226666666666667</v>
      </c>
      <c r="N16">
        <f t="shared" si="4"/>
        <v>347.25454545454545</v>
      </c>
      <c r="O16" s="6">
        <f t="shared" si="5"/>
        <v>0.77</v>
      </c>
      <c r="P16" s="6">
        <f t="shared" si="6"/>
        <v>70.327575757575758</v>
      </c>
      <c r="Q16" s="13">
        <v>1</v>
      </c>
      <c r="R16" s="4">
        <f t="shared" si="7"/>
        <v>0.90799999999999992</v>
      </c>
    </row>
    <row r="17" spans="1:18" x14ac:dyDescent="0.3">
      <c r="A17" t="s">
        <v>14</v>
      </c>
      <c r="B17">
        <v>6</v>
      </c>
      <c r="C17">
        <f t="shared" si="1"/>
        <v>124.6</v>
      </c>
      <c r="D17" s="6">
        <f t="shared" si="0"/>
        <v>0.1</v>
      </c>
      <c r="E17" s="6">
        <f t="shared" si="2"/>
        <v>2.0766666666666667</v>
      </c>
      <c r="F17" s="6"/>
      <c r="G17">
        <v>0</v>
      </c>
      <c r="H17" s="6">
        <f t="shared" si="3"/>
        <v>31.326666666666668</v>
      </c>
      <c r="N17">
        <f t="shared" si="4"/>
        <v>353.25454545454545</v>
      </c>
      <c r="O17" s="6">
        <f t="shared" si="5"/>
        <v>0.1</v>
      </c>
      <c r="P17" s="6">
        <f t="shared" si="6"/>
        <v>70.427575757575752</v>
      </c>
      <c r="Q17" s="13">
        <v>1</v>
      </c>
      <c r="R17" s="4">
        <f t="shared" si="7"/>
        <v>0.90799999999999992</v>
      </c>
    </row>
    <row r="18" spans="1:18" x14ac:dyDescent="0.3">
      <c r="A18" t="s">
        <v>15</v>
      </c>
      <c r="B18">
        <v>2</v>
      </c>
      <c r="C18">
        <f t="shared" si="1"/>
        <v>126.6</v>
      </c>
      <c r="D18" s="6">
        <f t="shared" si="0"/>
        <v>3.3333333333333333E-2</v>
      </c>
      <c r="E18" s="6">
        <f t="shared" si="2"/>
        <v>2.11</v>
      </c>
      <c r="F18" s="6"/>
      <c r="G18">
        <v>0</v>
      </c>
      <c r="H18" s="6">
        <f t="shared" si="3"/>
        <v>31.360000000000003</v>
      </c>
      <c r="I18" s="4">
        <v>7.4999999999999997E-2</v>
      </c>
      <c r="J18" t="s">
        <v>110</v>
      </c>
      <c r="K18">
        <f>C68</f>
        <v>60.81818181818182</v>
      </c>
      <c r="L18" s="6">
        <f>E68</f>
        <v>1.0136363636363637</v>
      </c>
      <c r="M18" s="9">
        <f>G64</f>
        <v>5.03</v>
      </c>
      <c r="N18">
        <f t="shared" si="4"/>
        <v>416.07272727272726</v>
      </c>
      <c r="O18" s="6">
        <f t="shared" si="5"/>
        <v>6.0769696969696971</v>
      </c>
      <c r="P18" s="6">
        <f t="shared" si="6"/>
        <v>76.50454545454545</v>
      </c>
      <c r="Q18" s="13">
        <v>0.92500000000000004</v>
      </c>
      <c r="R18" s="4">
        <f t="shared" si="7"/>
        <v>0.83299999999999996</v>
      </c>
    </row>
    <row r="19" spans="1:18" x14ac:dyDescent="0.3">
      <c r="A19" t="s">
        <v>17</v>
      </c>
      <c r="B19">
        <v>4.4000000000000004</v>
      </c>
      <c r="C19">
        <f t="shared" si="1"/>
        <v>131</v>
      </c>
      <c r="D19" s="6">
        <f t="shared" si="0"/>
        <v>7.3333333333333334E-2</v>
      </c>
      <c r="E19" s="6">
        <f t="shared" si="2"/>
        <v>2.1833333333333331</v>
      </c>
      <c r="F19" t="s">
        <v>65</v>
      </c>
      <c r="G19">
        <f>VLOOKUP(F19,'Price of each component'!$A$2:$B$14,2,FALSE)</f>
        <v>4.1500000000000004</v>
      </c>
      <c r="H19" s="6">
        <f t="shared" si="3"/>
        <v>35.583333333333336</v>
      </c>
      <c r="N19">
        <f t="shared" si="4"/>
        <v>420.47272727272724</v>
      </c>
      <c r="O19" s="6">
        <f t="shared" si="5"/>
        <v>4.2233333333333336</v>
      </c>
      <c r="P19" s="6">
        <f t="shared" si="6"/>
        <v>80.72787878787878</v>
      </c>
      <c r="Q19" s="13">
        <v>1</v>
      </c>
      <c r="R19" s="4">
        <f t="shared" si="7"/>
        <v>0.83299999999999996</v>
      </c>
    </row>
    <row r="20" spans="1:18" x14ac:dyDescent="0.3">
      <c r="A20" t="s">
        <v>18</v>
      </c>
      <c r="B20">
        <v>8.8000000000000007</v>
      </c>
      <c r="C20">
        <f t="shared" si="1"/>
        <v>139.80000000000001</v>
      </c>
      <c r="D20" s="6">
        <f t="shared" si="0"/>
        <v>0.14666666666666667</v>
      </c>
      <c r="E20" s="6">
        <f t="shared" si="2"/>
        <v>2.3299999999999996</v>
      </c>
      <c r="F20" s="6" t="s">
        <v>68</v>
      </c>
      <c r="G20">
        <f>VLOOKUP(F20,'Price of each component'!$A$2:$B$14,2,FALSE)</f>
        <v>0.31</v>
      </c>
      <c r="H20" s="6">
        <f t="shared" si="3"/>
        <v>36.040000000000006</v>
      </c>
      <c r="N20">
        <f t="shared" si="4"/>
        <v>429.27272727272725</v>
      </c>
      <c r="O20" s="6">
        <f t="shared" si="5"/>
        <v>0.45666666666666667</v>
      </c>
      <c r="P20" s="6">
        <f t="shared" si="6"/>
        <v>81.184545454545443</v>
      </c>
      <c r="Q20" s="13">
        <v>1</v>
      </c>
      <c r="R20" s="4">
        <f t="shared" si="7"/>
        <v>0.83299999999999996</v>
      </c>
    </row>
    <row r="21" spans="1:18" x14ac:dyDescent="0.3">
      <c r="A21" t="s">
        <v>19</v>
      </c>
      <c r="B21">
        <v>6</v>
      </c>
      <c r="C21">
        <f t="shared" si="1"/>
        <v>145.80000000000001</v>
      </c>
      <c r="D21" s="6">
        <f t="shared" si="0"/>
        <v>0.1</v>
      </c>
      <c r="E21" s="6">
        <f t="shared" si="2"/>
        <v>2.4299999999999997</v>
      </c>
      <c r="F21" s="6"/>
      <c r="G21">
        <v>0</v>
      </c>
      <c r="H21" s="6">
        <f t="shared" si="3"/>
        <v>36.140000000000008</v>
      </c>
      <c r="N21">
        <f t="shared" si="4"/>
        <v>435.27272727272725</v>
      </c>
      <c r="O21" s="6">
        <f t="shared" si="5"/>
        <v>0.1</v>
      </c>
      <c r="P21" s="6">
        <f t="shared" si="6"/>
        <v>81.284545454545437</v>
      </c>
      <c r="Q21" s="13">
        <v>1</v>
      </c>
      <c r="R21" s="4">
        <f t="shared" si="7"/>
        <v>0.83299999999999996</v>
      </c>
    </row>
    <row r="22" spans="1:18" x14ac:dyDescent="0.3">
      <c r="A22" t="s">
        <v>6</v>
      </c>
      <c r="B22">
        <v>2</v>
      </c>
      <c r="C22">
        <f t="shared" si="1"/>
        <v>147.80000000000001</v>
      </c>
      <c r="D22" s="6">
        <f t="shared" si="0"/>
        <v>3.3333333333333333E-2</v>
      </c>
      <c r="E22" s="6">
        <f t="shared" si="2"/>
        <v>2.4633333333333329</v>
      </c>
      <c r="F22" s="6"/>
      <c r="G22">
        <v>0</v>
      </c>
      <c r="H22" s="6">
        <f t="shared" si="3"/>
        <v>36.173333333333339</v>
      </c>
      <c r="N22">
        <f t="shared" si="4"/>
        <v>437.27272727272725</v>
      </c>
      <c r="O22" s="6">
        <f t="shared" si="5"/>
        <v>3.3333333333333333E-2</v>
      </c>
      <c r="P22" s="6">
        <f t="shared" si="6"/>
        <v>81.317878787878769</v>
      </c>
      <c r="Q22" s="13">
        <v>1</v>
      </c>
      <c r="R22" s="4">
        <f t="shared" si="7"/>
        <v>0.83299999999999996</v>
      </c>
    </row>
    <row r="23" spans="1:18" x14ac:dyDescent="0.3">
      <c r="A23" t="s">
        <v>20</v>
      </c>
      <c r="B23">
        <v>1.2</v>
      </c>
      <c r="C23">
        <f t="shared" si="1"/>
        <v>149</v>
      </c>
      <c r="D23" s="6">
        <f t="shared" si="0"/>
        <v>0.02</v>
      </c>
      <c r="E23" s="6">
        <f t="shared" si="2"/>
        <v>2.4833333333333329</v>
      </c>
      <c r="F23" t="s">
        <v>71</v>
      </c>
      <c r="G23">
        <f>VLOOKUP(F23,'Price of each component'!$A$2:$B$14,2,FALSE)</f>
        <v>2</v>
      </c>
      <c r="H23" s="6">
        <f t="shared" si="3"/>
        <v>38.193333333333342</v>
      </c>
      <c r="N23">
        <f t="shared" si="4"/>
        <v>438.47272727272724</v>
      </c>
      <c r="O23" s="6">
        <f t="shared" si="5"/>
        <v>2.02</v>
      </c>
      <c r="P23" s="6">
        <f t="shared" si="6"/>
        <v>83.337878787878765</v>
      </c>
      <c r="Q23" s="13">
        <v>1</v>
      </c>
      <c r="R23" s="4">
        <f t="shared" si="7"/>
        <v>0.83299999999999996</v>
      </c>
    </row>
    <row r="24" spans="1:18" x14ac:dyDescent="0.3">
      <c r="A24" t="s">
        <v>21</v>
      </c>
      <c r="B24">
        <v>1.2</v>
      </c>
      <c r="C24">
        <f t="shared" si="1"/>
        <v>150.19999999999999</v>
      </c>
      <c r="D24" s="6">
        <f t="shared" si="0"/>
        <v>0.02</v>
      </c>
      <c r="E24" s="6">
        <f t="shared" si="2"/>
        <v>2.503333333333333</v>
      </c>
      <c r="F24" t="s">
        <v>66</v>
      </c>
      <c r="G24">
        <f>VLOOKUP(F24,'Price of each component'!$A$2:$B$14,2,FALSE)</f>
        <v>1.89</v>
      </c>
      <c r="H24" s="6">
        <f t="shared" si="3"/>
        <v>40.103333333333346</v>
      </c>
      <c r="N24">
        <f t="shared" si="4"/>
        <v>439.67272727272723</v>
      </c>
      <c r="O24" s="6">
        <f t="shared" si="5"/>
        <v>1.91</v>
      </c>
      <c r="P24" s="6">
        <f t="shared" si="6"/>
        <v>85.247878787878761</v>
      </c>
      <c r="Q24" s="13">
        <v>1</v>
      </c>
      <c r="R24" s="4">
        <f t="shared" si="7"/>
        <v>0.83299999999999996</v>
      </c>
    </row>
    <row r="25" spans="1:18" x14ac:dyDescent="0.3">
      <c r="A25" t="s">
        <v>22</v>
      </c>
      <c r="B25">
        <v>12</v>
      </c>
      <c r="C25">
        <f t="shared" si="1"/>
        <v>162.19999999999999</v>
      </c>
      <c r="D25" s="6">
        <f t="shared" si="0"/>
        <v>0.2</v>
      </c>
      <c r="E25" s="6">
        <f t="shared" si="2"/>
        <v>2.7033333333333331</v>
      </c>
      <c r="F25" s="6" t="s">
        <v>63</v>
      </c>
      <c r="G25">
        <f>VLOOKUP(F25,'Price of each component'!$A$2:$B$14,2,FALSE)</f>
        <v>17.420000000000002</v>
      </c>
      <c r="H25" s="6">
        <f t="shared" si="3"/>
        <v>57.72333333333335</v>
      </c>
      <c r="I25" s="1">
        <v>0.03</v>
      </c>
      <c r="J25" t="s">
        <v>122</v>
      </c>
      <c r="K25">
        <f>C92</f>
        <v>251.0181818181818</v>
      </c>
      <c r="L25" s="6">
        <f>E92</f>
        <v>4.1836363636363636</v>
      </c>
      <c r="M25" s="9">
        <f>G73</f>
        <v>55.02</v>
      </c>
      <c r="N25">
        <f t="shared" si="4"/>
        <v>702.69090909090903</v>
      </c>
      <c r="O25" s="6">
        <f t="shared" si="5"/>
        <v>76.823636363636368</v>
      </c>
      <c r="P25" s="6">
        <f t="shared" si="6"/>
        <v>162.07151515151514</v>
      </c>
      <c r="Q25" s="13">
        <v>0.97</v>
      </c>
      <c r="R25" s="4">
        <f t="shared" si="7"/>
        <v>0.80299999999999994</v>
      </c>
    </row>
    <row r="26" spans="1:18" x14ac:dyDescent="0.3">
      <c r="A26" t="s">
        <v>24</v>
      </c>
      <c r="B26">
        <v>8</v>
      </c>
      <c r="C26">
        <f t="shared" si="1"/>
        <v>170.2</v>
      </c>
      <c r="D26" s="6">
        <f t="shared" si="0"/>
        <v>0.13333333333333333</v>
      </c>
      <c r="E26" s="6">
        <f t="shared" si="2"/>
        <v>2.8366666666666664</v>
      </c>
      <c r="F26" s="6" t="s">
        <v>69</v>
      </c>
      <c r="G26">
        <f>VLOOKUP(F26,'Price of each component'!$A$2:$B$14,2,FALSE)</f>
        <v>38.15</v>
      </c>
      <c r="H26" s="6">
        <f t="shared" si="3"/>
        <v>96.006666666666689</v>
      </c>
      <c r="N26">
        <f t="shared" si="4"/>
        <v>710.69090909090903</v>
      </c>
      <c r="O26" s="6">
        <f t="shared" si="5"/>
        <v>38.283333333333331</v>
      </c>
      <c r="P26" s="6">
        <f t="shared" si="6"/>
        <v>200.35484848484847</v>
      </c>
      <c r="Q26" s="13">
        <v>1</v>
      </c>
      <c r="R26" s="4">
        <f t="shared" si="7"/>
        <v>0.80299999999999994</v>
      </c>
    </row>
    <row r="27" spans="1:18" x14ac:dyDescent="0.3">
      <c r="A27" t="s">
        <v>25</v>
      </c>
      <c r="B27">
        <v>13.3</v>
      </c>
      <c r="C27">
        <f t="shared" si="1"/>
        <v>183.5</v>
      </c>
      <c r="D27" s="6">
        <f t="shared" si="0"/>
        <v>0.22166666666666668</v>
      </c>
      <c r="E27" s="6">
        <f t="shared" si="2"/>
        <v>3.0583333333333331</v>
      </c>
      <c r="F27" s="6"/>
      <c r="G27">
        <v>0</v>
      </c>
      <c r="H27" s="6">
        <f t="shared" si="3"/>
        <v>96.228333333333353</v>
      </c>
      <c r="N27">
        <f t="shared" si="4"/>
        <v>723.99090909090899</v>
      </c>
      <c r="O27" s="6">
        <f t="shared" si="5"/>
        <v>0.22166666666666668</v>
      </c>
      <c r="P27" s="6">
        <f t="shared" si="6"/>
        <v>200.57651515151514</v>
      </c>
      <c r="Q27" s="13">
        <v>1</v>
      </c>
      <c r="R27" s="4">
        <f t="shared" si="7"/>
        <v>0.80299999999999994</v>
      </c>
    </row>
    <row r="28" spans="1:18" x14ac:dyDescent="0.3">
      <c r="A28" t="s">
        <v>26</v>
      </c>
      <c r="B28">
        <v>10</v>
      </c>
      <c r="C28">
        <f t="shared" si="1"/>
        <v>193.5</v>
      </c>
      <c r="D28" s="6">
        <f t="shared" si="0"/>
        <v>0.16666666666666666</v>
      </c>
      <c r="E28" s="6">
        <f t="shared" si="2"/>
        <v>3.2249999999999996</v>
      </c>
      <c r="F28" s="6"/>
      <c r="G28">
        <v>0</v>
      </c>
      <c r="H28" s="6">
        <f t="shared" si="3"/>
        <v>96.395000000000024</v>
      </c>
      <c r="I28" s="4">
        <v>9.5000000000000001E-2</v>
      </c>
      <c r="J28" t="s">
        <v>109</v>
      </c>
      <c r="K28">
        <f>C102</f>
        <v>72.818181818181813</v>
      </c>
      <c r="L28" s="6">
        <f>E102</f>
        <v>1.2136363636363636</v>
      </c>
      <c r="M28" s="9">
        <f>G97</f>
        <v>9.6900000000000013</v>
      </c>
      <c r="N28">
        <f t="shared" si="4"/>
        <v>806.80909090909086</v>
      </c>
      <c r="O28" s="6">
        <f t="shared" si="5"/>
        <v>11.07030303030303</v>
      </c>
      <c r="P28" s="6">
        <f t="shared" si="6"/>
        <v>211.64681818181816</v>
      </c>
      <c r="Q28" s="13">
        <v>0.90500000000000003</v>
      </c>
      <c r="R28" s="4">
        <f t="shared" si="7"/>
        <v>0.70799999999999996</v>
      </c>
    </row>
    <row r="29" spans="1:18" x14ac:dyDescent="0.3">
      <c r="A29" t="s">
        <v>28</v>
      </c>
      <c r="B29">
        <v>40</v>
      </c>
      <c r="C29">
        <f t="shared" si="1"/>
        <v>233.5</v>
      </c>
      <c r="D29" s="6">
        <f>B29*$B$4</f>
        <v>0.66666666666666663</v>
      </c>
      <c r="E29" s="6">
        <f t="shared" si="2"/>
        <v>3.8916666666666662</v>
      </c>
      <c r="F29" s="6"/>
      <c r="G29">
        <v>0</v>
      </c>
      <c r="H29" s="6">
        <f t="shared" si="3"/>
        <v>97.061666666666696</v>
      </c>
      <c r="N29">
        <f t="shared" si="4"/>
        <v>846.80909090909086</v>
      </c>
      <c r="O29" s="6">
        <f t="shared" si="5"/>
        <v>0.66666666666666663</v>
      </c>
      <c r="P29" s="6">
        <f t="shared" si="6"/>
        <v>212.31348484848482</v>
      </c>
      <c r="Q29" s="13">
        <v>1</v>
      </c>
      <c r="R29" s="4">
        <f t="shared" si="7"/>
        <v>0.70799999999999996</v>
      </c>
    </row>
    <row r="32" spans="1:18" x14ac:dyDescent="0.3">
      <c r="A32" t="s">
        <v>106</v>
      </c>
    </row>
    <row r="33" spans="1:8" x14ac:dyDescent="0.3">
      <c r="A33" t="s">
        <v>111</v>
      </c>
      <c r="B33" t="s">
        <v>95</v>
      </c>
      <c r="C33" t="s">
        <v>96</v>
      </c>
      <c r="D33" t="s">
        <v>97</v>
      </c>
      <c r="E33" t="s">
        <v>98</v>
      </c>
      <c r="F33" t="s">
        <v>59</v>
      </c>
      <c r="G33" t="s">
        <v>100</v>
      </c>
      <c r="H33" t="s">
        <v>101</v>
      </c>
    </row>
    <row r="34" spans="1:8" x14ac:dyDescent="0.3">
      <c r="A34" t="s">
        <v>115</v>
      </c>
      <c r="B34">
        <f>'Making a TrackR with fail rate'!K9</f>
        <v>14.818181818181818</v>
      </c>
      <c r="C34">
        <f>B34</f>
        <v>14.818181818181818</v>
      </c>
      <c r="D34" s="6">
        <f>B34*$B$4</f>
        <v>0.24696969696969698</v>
      </c>
      <c r="E34" s="6">
        <f>D34</f>
        <v>0.24696969696969698</v>
      </c>
      <c r="H34" s="6">
        <f>G34+E34</f>
        <v>0.24696969696969698</v>
      </c>
    </row>
    <row r="35" spans="1:8" x14ac:dyDescent="0.3">
      <c r="A35" t="s">
        <v>112</v>
      </c>
      <c r="B35">
        <f>'Making a TrackR with fail rate'!K15</f>
        <v>3</v>
      </c>
      <c r="C35">
        <f>B35+C34</f>
        <v>17.81818181818182</v>
      </c>
      <c r="D35" s="6">
        <f t="shared" ref="D35:D38" si="8">B35*$B$4</f>
        <v>0.05</v>
      </c>
      <c r="E35" s="6">
        <f>D35+E34</f>
        <v>0.29696969696969699</v>
      </c>
      <c r="H35" s="6">
        <f>G35+E35+H34</f>
        <v>0.54393939393939394</v>
      </c>
    </row>
    <row r="36" spans="1:8" x14ac:dyDescent="0.3">
      <c r="A36" t="s">
        <v>113</v>
      </c>
      <c r="B36">
        <f>'Making a TrackR with fail rate'!K6</f>
        <v>3</v>
      </c>
      <c r="C36">
        <f t="shared" ref="C36:C38" si="9">B36+C35</f>
        <v>20.81818181818182</v>
      </c>
      <c r="D36" s="6">
        <f t="shared" si="8"/>
        <v>0.05</v>
      </c>
      <c r="E36" s="6">
        <f t="shared" ref="E36:E38" si="10">D36+E35</f>
        <v>0.34696969696969698</v>
      </c>
      <c r="F36" t="s">
        <v>61</v>
      </c>
      <c r="G36" s="6">
        <v>6.61</v>
      </c>
      <c r="H36" s="6">
        <f t="shared" ref="H36:H38" si="11">G36+E36+H35</f>
        <v>7.500909090909091</v>
      </c>
    </row>
    <row r="37" spans="1:8" x14ac:dyDescent="0.3">
      <c r="A37" t="s">
        <v>114</v>
      </c>
      <c r="B37">
        <f>'Making a TrackR with fail rate'!K12</f>
        <v>8</v>
      </c>
      <c r="C37">
        <f t="shared" si="9"/>
        <v>28.81818181818182</v>
      </c>
      <c r="D37" s="6">
        <f t="shared" si="8"/>
        <v>0.13333333333333333</v>
      </c>
      <c r="E37" s="6">
        <f t="shared" si="10"/>
        <v>0.48030303030303034</v>
      </c>
      <c r="H37" s="6">
        <f t="shared" si="11"/>
        <v>7.9812121212121214</v>
      </c>
    </row>
    <row r="38" spans="1:8" x14ac:dyDescent="0.3">
      <c r="A38" t="s">
        <v>116</v>
      </c>
      <c r="B38">
        <v>14</v>
      </c>
      <c r="C38">
        <f t="shared" si="9"/>
        <v>42.81818181818182</v>
      </c>
      <c r="D38" s="6">
        <f t="shared" si="8"/>
        <v>0.23333333333333334</v>
      </c>
      <c r="E38" s="6">
        <f t="shared" si="10"/>
        <v>0.71363636363636362</v>
      </c>
      <c r="H38" s="6">
        <f t="shared" si="11"/>
        <v>8.6948484848484853</v>
      </c>
    </row>
    <row r="40" spans="1:8" x14ac:dyDescent="0.3">
      <c r="A40" t="s">
        <v>108</v>
      </c>
    </row>
    <row r="41" spans="1:8" x14ac:dyDescent="0.3">
      <c r="A41" t="s">
        <v>115</v>
      </c>
      <c r="B41">
        <f>'Making a TrackR with fail rate'!K9</f>
        <v>14.818181818181818</v>
      </c>
      <c r="C41">
        <f>B41</f>
        <v>14.818181818181818</v>
      </c>
      <c r="D41" s="6">
        <f>B41*$B$4</f>
        <v>0.24696969696969698</v>
      </c>
      <c r="E41" s="6">
        <f>D41+E40</f>
        <v>0.24696969696969698</v>
      </c>
      <c r="H41" s="6">
        <f>G41+D41</f>
        <v>0.24696969696969698</v>
      </c>
    </row>
    <row r="42" spans="1:8" x14ac:dyDescent="0.3">
      <c r="A42" t="s">
        <v>112</v>
      </c>
      <c r="B42">
        <f>'Making a TrackR with fail rate'!K15*3</f>
        <v>9</v>
      </c>
      <c r="C42">
        <f>C41+B42</f>
        <v>23.81818181818182</v>
      </c>
      <c r="D42" s="6">
        <f t="shared" ref="D42:D49" si="12">B42*$B$4</f>
        <v>0.15</v>
      </c>
      <c r="E42" s="6">
        <f t="shared" ref="E42:E49" si="13">D42+E41</f>
        <v>0.39696969696969697</v>
      </c>
      <c r="H42" s="6">
        <f>H41+G42+D42</f>
        <v>0.39696969696969697</v>
      </c>
    </row>
    <row r="43" spans="1:8" x14ac:dyDescent="0.3">
      <c r="A43" t="s">
        <v>113</v>
      </c>
      <c r="B43">
        <f>'Making a TrackR with fail rate'!K6*3</f>
        <v>9</v>
      </c>
      <c r="C43">
        <f t="shared" ref="C43:C49" si="14">C42+B43</f>
        <v>32.81818181818182</v>
      </c>
      <c r="D43" s="6">
        <f t="shared" si="12"/>
        <v>0.15</v>
      </c>
      <c r="E43" s="6">
        <f t="shared" si="13"/>
        <v>0.54696969696969699</v>
      </c>
      <c r="F43" t="s">
        <v>119</v>
      </c>
      <c r="G43" s="9">
        <f>'Price of each component'!B2+'Price of each component'!B3+'Price of each component'!B13</f>
        <v>9.6900000000000013</v>
      </c>
      <c r="H43" s="6">
        <f t="shared" ref="H43:H49" si="15">H42+G43+D43</f>
        <v>10.236969696969698</v>
      </c>
    </row>
    <row r="44" spans="1:8" x14ac:dyDescent="0.3">
      <c r="A44" t="s">
        <v>114</v>
      </c>
      <c r="B44">
        <f>'Making a TrackR with fail rate'!K12</f>
        <v>8</v>
      </c>
      <c r="C44">
        <f t="shared" si="14"/>
        <v>40.81818181818182</v>
      </c>
      <c r="D44" s="6">
        <f t="shared" si="12"/>
        <v>0.13333333333333333</v>
      </c>
      <c r="E44" s="6">
        <f t="shared" si="13"/>
        <v>0.6803030303030303</v>
      </c>
      <c r="H44" s="6">
        <f t="shared" si="15"/>
        <v>10.370303030303031</v>
      </c>
    </row>
    <row r="45" spans="1:8" x14ac:dyDescent="0.3">
      <c r="A45" t="s">
        <v>0</v>
      </c>
      <c r="B45">
        <f>B9</f>
        <v>3</v>
      </c>
      <c r="C45">
        <f t="shared" si="14"/>
        <v>43.81818181818182</v>
      </c>
      <c r="D45" s="6">
        <f t="shared" si="12"/>
        <v>0.05</v>
      </c>
      <c r="E45" s="6">
        <f t="shared" si="13"/>
        <v>0.73030303030303034</v>
      </c>
      <c r="H45" s="6">
        <f t="shared" si="15"/>
        <v>10.420303030303032</v>
      </c>
    </row>
    <row r="46" spans="1:8" x14ac:dyDescent="0.3">
      <c r="A46" t="s">
        <v>4</v>
      </c>
      <c r="B46">
        <f t="shared" ref="B46:B49" si="16">B10</f>
        <v>7</v>
      </c>
      <c r="C46">
        <f t="shared" si="14"/>
        <v>50.81818181818182</v>
      </c>
      <c r="D46" s="6">
        <f t="shared" si="12"/>
        <v>0.11666666666666667</v>
      </c>
      <c r="E46" s="6">
        <f t="shared" si="13"/>
        <v>0.84696969696969704</v>
      </c>
      <c r="H46" s="6">
        <f t="shared" si="15"/>
        <v>10.536969696969699</v>
      </c>
    </row>
    <row r="47" spans="1:8" x14ac:dyDescent="0.3">
      <c r="A47" t="s">
        <v>99</v>
      </c>
      <c r="B47">
        <f t="shared" si="16"/>
        <v>24</v>
      </c>
      <c r="C47">
        <f t="shared" si="14"/>
        <v>74.818181818181813</v>
      </c>
      <c r="D47" s="6">
        <f t="shared" si="12"/>
        <v>0.4</v>
      </c>
      <c r="E47" s="6">
        <f t="shared" si="13"/>
        <v>1.2469696969696971</v>
      </c>
      <c r="H47" s="6">
        <f t="shared" si="15"/>
        <v>10.936969696969699</v>
      </c>
    </row>
    <row r="48" spans="1:8" x14ac:dyDescent="0.3">
      <c r="A48" t="s">
        <v>11</v>
      </c>
      <c r="B48">
        <f t="shared" si="16"/>
        <v>2</v>
      </c>
      <c r="C48">
        <f t="shared" si="14"/>
        <v>76.818181818181813</v>
      </c>
      <c r="D48" s="6">
        <f t="shared" si="12"/>
        <v>3.3333333333333333E-2</v>
      </c>
      <c r="E48" s="6">
        <f t="shared" si="13"/>
        <v>1.2803030303030305</v>
      </c>
      <c r="H48" s="6">
        <f t="shared" si="15"/>
        <v>10.970303030303032</v>
      </c>
    </row>
    <row r="49" spans="1:8" x14ac:dyDescent="0.3">
      <c r="A49" t="s">
        <v>6</v>
      </c>
      <c r="B49">
        <f t="shared" si="16"/>
        <v>6.6</v>
      </c>
      <c r="C49">
        <f t="shared" si="14"/>
        <v>83.418181818181807</v>
      </c>
      <c r="D49" s="6">
        <f t="shared" si="12"/>
        <v>0.10999999999999999</v>
      </c>
      <c r="E49" s="6">
        <f t="shared" si="13"/>
        <v>1.3903030303030306</v>
      </c>
      <c r="H49" s="6">
        <f t="shared" si="15"/>
        <v>11.080303030303032</v>
      </c>
    </row>
    <row r="51" spans="1:8" x14ac:dyDescent="0.3">
      <c r="A51" t="s">
        <v>107</v>
      </c>
    </row>
    <row r="52" spans="1:8" x14ac:dyDescent="0.3">
      <c r="A52" t="s">
        <v>115</v>
      </c>
      <c r="B52">
        <f>'Making a TrackR with fail rate'!K9</f>
        <v>14.818181818181818</v>
      </c>
      <c r="C52">
        <f>B52+C51</f>
        <v>14.818181818181818</v>
      </c>
      <c r="D52" s="6">
        <f>B52*$B$4</f>
        <v>0.24696969696969698</v>
      </c>
      <c r="E52" s="6">
        <f>D52</f>
        <v>0.24696969696969698</v>
      </c>
      <c r="H52" s="6">
        <f>G52+E52</f>
        <v>0.24696969696969698</v>
      </c>
    </row>
    <row r="53" spans="1:8" x14ac:dyDescent="0.3">
      <c r="A53" t="s">
        <v>112</v>
      </c>
      <c r="B53">
        <f>'Making a TrackR with fail rate'!K15*2</f>
        <v>6</v>
      </c>
      <c r="C53">
        <f t="shared" ref="C53:C59" si="17">B53+C52</f>
        <v>20.81818181818182</v>
      </c>
      <c r="D53" s="6">
        <f t="shared" ref="D53:D59" si="18">B53*$B$4</f>
        <v>0.1</v>
      </c>
      <c r="E53" s="6">
        <f>E52+D53</f>
        <v>0.34696969696969698</v>
      </c>
      <c r="H53" s="6">
        <f>G53+E53+H52</f>
        <v>0.59393939393939399</v>
      </c>
    </row>
    <row r="54" spans="1:8" x14ac:dyDescent="0.3">
      <c r="A54" t="s">
        <v>113</v>
      </c>
      <c r="B54">
        <f>'Making a TrackR with fail rate'!K6*2</f>
        <v>6</v>
      </c>
      <c r="C54">
        <f t="shared" si="17"/>
        <v>26.81818181818182</v>
      </c>
      <c r="D54" s="6">
        <f t="shared" si="18"/>
        <v>0.1</v>
      </c>
      <c r="E54" s="6">
        <f t="shared" ref="E54:E59" si="19">E53+D54</f>
        <v>0.44696969696969702</v>
      </c>
      <c r="F54" t="s">
        <v>120</v>
      </c>
      <c r="G54" s="9">
        <f>'Price of each component'!B11+'Price of each component'!B5</f>
        <v>18.990000000000002</v>
      </c>
      <c r="H54" s="6">
        <f t="shared" ref="H54:H59" si="20">G54+E54+H53</f>
        <v>20.030909090909091</v>
      </c>
    </row>
    <row r="55" spans="1:8" x14ac:dyDescent="0.3">
      <c r="A55" t="s">
        <v>114</v>
      </c>
      <c r="B55">
        <f>'Making a TrackR with fail rate'!K12</f>
        <v>8</v>
      </c>
      <c r="C55">
        <f t="shared" si="17"/>
        <v>34.81818181818182</v>
      </c>
      <c r="D55" s="6">
        <f t="shared" si="18"/>
        <v>0.13333333333333333</v>
      </c>
      <c r="E55" s="6">
        <f t="shared" si="19"/>
        <v>0.58030303030303032</v>
      </c>
      <c r="H55" s="6">
        <f t="shared" si="20"/>
        <v>20.611212121212123</v>
      </c>
    </row>
    <row r="56" spans="1:8" x14ac:dyDescent="0.3">
      <c r="A56" t="s">
        <v>8</v>
      </c>
      <c r="B56">
        <v>6.6</v>
      </c>
      <c r="C56">
        <f t="shared" si="17"/>
        <v>41.418181818181822</v>
      </c>
      <c r="D56" s="6">
        <f t="shared" si="18"/>
        <v>0.10999999999999999</v>
      </c>
      <c r="E56" s="6">
        <f t="shared" si="19"/>
        <v>0.69030303030303031</v>
      </c>
      <c r="H56" s="6">
        <f t="shared" si="20"/>
        <v>21.301515151515154</v>
      </c>
    </row>
    <row r="57" spans="1:8" x14ac:dyDescent="0.3">
      <c r="A57" t="s">
        <v>9</v>
      </c>
      <c r="B57">
        <v>20</v>
      </c>
      <c r="C57">
        <f t="shared" si="17"/>
        <v>61.418181818181822</v>
      </c>
      <c r="D57" s="6">
        <f t="shared" si="18"/>
        <v>0.33333333333333331</v>
      </c>
      <c r="E57" s="6">
        <f t="shared" si="19"/>
        <v>1.0236363636363637</v>
      </c>
      <c r="H57" s="6">
        <f t="shared" si="20"/>
        <v>22.325151515151518</v>
      </c>
    </row>
    <row r="58" spans="1:8" x14ac:dyDescent="0.3">
      <c r="A58" t="s">
        <v>10</v>
      </c>
      <c r="B58">
        <v>30</v>
      </c>
      <c r="C58">
        <f t="shared" si="17"/>
        <v>91.418181818181822</v>
      </c>
      <c r="D58" s="6">
        <f t="shared" si="18"/>
        <v>0.5</v>
      </c>
      <c r="E58" s="6">
        <f t="shared" si="19"/>
        <v>1.5236363636363637</v>
      </c>
      <c r="H58" s="6">
        <f t="shared" si="20"/>
        <v>23.848787878787881</v>
      </c>
    </row>
    <row r="59" spans="1:8" x14ac:dyDescent="0.3">
      <c r="A59" t="s">
        <v>12</v>
      </c>
      <c r="B59">
        <v>11</v>
      </c>
      <c r="C59">
        <f t="shared" si="17"/>
        <v>102.41818181818182</v>
      </c>
      <c r="D59" s="6">
        <f t="shared" si="18"/>
        <v>0.18333333333333332</v>
      </c>
      <c r="E59" s="6">
        <f t="shared" si="19"/>
        <v>1.706969696969697</v>
      </c>
      <c r="H59" s="6">
        <f t="shared" si="20"/>
        <v>25.555757575757578</v>
      </c>
    </row>
    <row r="61" spans="1:8" x14ac:dyDescent="0.3">
      <c r="A61" t="s">
        <v>110</v>
      </c>
    </row>
    <row r="62" spans="1:8" x14ac:dyDescent="0.3">
      <c r="A62" t="s">
        <v>115</v>
      </c>
      <c r="B62">
        <f>'Making a TrackR with fail rate'!K9</f>
        <v>14.818181818181818</v>
      </c>
      <c r="C62">
        <f>B62</f>
        <v>14.818181818181818</v>
      </c>
      <c r="D62" s="6">
        <f>B62*$B$4</f>
        <v>0.24696969696969698</v>
      </c>
      <c r="E62" s="6">
        <f>D62</f>
        <v>0.24696969696969698</v>
      </c>
      <c r="H62" s="6">
        <f>G62+E62</f>
        <v>0.24696969696969698</v>
      </c>
    </row>
    <row r="63" spans="1:8" x14ac:dyDescent="0.3">
      <c r="A63" t="s">
        <v>112</v>
      </c>
      <c r="B63">
        <f>'Making a TrackR with fail rate'!K15*3</f>
        <v>9</v>
      </c>
      <c r="C63">
        <f>C62+B63</f>
        <v>23.81818181818182</v>
      </c>
      <c r="D63" s="6">
        <f t="shared" ref="D63:D68" si="21">B63*$B$4</f>
        <v>0.15</v>
      </c>
      <c r="E63" s="6">
        <f>D63+E62</f>
        <v>0.39696969696969697</v>
      </c>
      <c r="H63" s="6">
        <f>G63+E63+H62</f>
        <v>0.64393939393939392</v>
      </c>
    </row>
    <row r="64" spans="1:8" x14ac:dyDescent="0.3">
      <c r="A64" t="s">
        <v>113</v>
      </c>
      <c r="B64">
        <f>'Making a TrackR with fail rate'!K6*3</f>
        <v>9</v>
      </c>
      <c r="C64">
        <f t="shared" ref="C64:C68" si="22">C63+B64</f>
        <v>32.81818181818182</v>
      </c>
      <c r="D64" s="6">
        <f t="shared" si="21"/>
        <v>0.15</v>
      </c>
      <c r="E64" s="6">
        <f t="shared" ref="E64:E68" si="23">D64+E63</f>
        <v>0.54696969696969699</v>
      </c>
      <c r="F64" t="s">
        <v>121</v>
      </c>
      <c r="G64" s="9">
        <f>'Price of each component'!B8+'Price of each component'!B9+'Price of each component'!B6</f>
        <v>5.03</v>
      </c>
      <c r="H64" s="6">
        <f t="shared" ref="H64:H68" si="24">G64+E64+H63</f>
        <v>6.2209090909090907</v>
      </c>
    </row>
    <row r="65" spans="1:8" x14ac:dyDescent="0.3">
      <c r="A65" t="s">
        <v>114</v>
      </c>
      <c r="B65">
        <f>'Making a TrackR with fail rate'!K12</f>
        <v>8</v>
      </c>
      <c r="C65">
        <f t="shared" si="22"/>
        <v>40.81818181818182</v>
      </c>
      <c r="D65" s="6">
        <f t="shared" si="21"/>
        <v>0.13333333333333333</v>
      </c>
      <c r="E65" s="6">
        <f t="shared" si="23"/>
        <v>0.6803030303030303</v>
      </c>
      <c r="H65" s="6">
        <f t="shared" si="24"/>
        <v>6.9012121212121214</v>
      </c>
    </row>
    <row r="66" spans="1:8" x14ac:dyDescent="0.3">
      <c r="A66" t="s">
        <v>13</v>
      </c>
      <c r="B66">
        <v>12</v>
      </c>
      <c r="C66">
        <f t="shared" si="22"/>
        <v>52.81818181818182</v>
      </c>
      <c r="D66" s="6">
        <f t="shared" si="21"/>
        <v>0.2</v>
      </c>
      <c r="E66" s="6">
        <f t="shared" si="23"/>
        <v>0.88030303030303036</v>
      </c>
      <c r="H66" s="6">
        <f t="shared" si="24"/>
        <v>7.7815151515151513</v>
      </c>
    </row>
    <row r="67" spans="1:8" x14ac:dyDescent="0.3">
      <c r="A67" t="s">
        <v>14</v>
      </c>
      <c r="B67">
        <v>6</v>
      </c>
      <c r="C67">
        <f t="shared" si="22"/>
        <v>58.81818181818182</v>
      </c>
      <c r="D67" s="6">
        <f t="shared" si="21"/>
        <v>0.1</v>
      </c>
      <c r="E67" s="6">
        <f t="shared" si="23"/>
        <v>0.98030303030303034</v>
      </c>
      <c r="H67" s="6">
        <f t="shared" si="24"/>
        <v>8.7618181818181817</v>
      </c>
    </row>
    <row r="68" spans="1:8" x14ac:dyDescent="0.3">
      <c r="A68" t="s">
        <v>15</v>
      </c>
      <c r="B68">
        <v>2</v>
      </c>
      <c r="C68">
        <f t="shared" si="22"/>
        <v>60.81818181818182</v>
      </c>
      <c r="D68" s="6">
        <f t="shared" si="21"/>
        <v>3.3333333333333333E-2</v>
      </c>
      <c r="E68" s="6">
        <f t="shared" si="23"/>
        <v>1.0136363636363637</v>
      </c>
      <c r="H68" s="6">
        <f t="shared" si="24"/>
        <v>9.7754545454545454</v>
      </c>
    </row>
    <row r="70" spans="1:8" x14ac:dyDescent="0.3">
      <c r="A70" t="s">
        <v>122</v>
      </c>
    </row>
    <row r="71" spans="1:8" x14ac:dyDescent="0.3">
      <c r="A71" t="s">
        <v>115</v>
      </c>
      <c r="B71">
        <f>'Making a TrackR with fail rate'!K9</f>
        <v>14.818181818181818</v>
      </c>
      <c r="C71">
        <f>B71</f>
        <v>14.818181818181818</v>
      </c>
      <c r="D71" s="6">
        <f>B71*$B$4</f>
        <v>0.24696969696969698</v>
      </c>
      <c r="E71" s="6">
        <f>D71</f>
        <v>0.24696969696969698</v>
      </c>
      <c r="H71" s="6">
        <f>G71+E71</f>
        <v>0.24696969696969698</v>
      </c>
    </row>
    <row r="72" spans="1:8" x14ac:dyDescent="0.3">
      <c r="A72" t="s">
        <v>112</v>
      </c>
      <c r="B72">
        <f>'Making a TrackR with fail rate'!K15*11</f>
        <v>33</v>
      </c>
      <c r="C72">
        <f>B72+C71</f>
        <v>47.81818181818182</v>
      </c>
      <c r="D72" s="6">
        <f t="shared" ref="D72:D92" si="25">B72*$B$4</f>
        <v>0.55000000000000004</v>
      </c>
      <c r="E72" s="6">
        <f>D72+E71</f>
        <v>0.79696969696969699</v>
      </c>
      <c r="H72" s="6">
        <f>G72+E72+H71</f>
        <v>1.0439393939393939</v>
      </c>
    </row>
    <row r="73" spans="1:8" x14ac:dyDescent="0.3">
      <c r="A73" t="s">
        <v>113</v>
      </c>
      <c r="B73">
        <f>'Making a TrackR with fail rate'!K6*11</f>
        <v>33</v>
      </c>
      <c r="C73">
        <f t="shared" ref="C73:C92" si="26">B73+C72</f>
        <v>80.818181818181813</v>
      </c>
      <c r="D73" s="6">
        <f t="shared" si="25"/>
        <v>0.55000000000000004</v>
      </c>
      <c r="E73" s="6">
        <f t="shared" ref="E73:E92" si="27">D73+E72</f>
        <v>1.3469696969696972</v>
      </c>
      <c r="F73" t="s">
        <v>123</v>
      </c>
      <c r="G73" s="9">
        <f>SUM('Price of each component'!B2:B9,'Price of each component'!B11:B13)</f>
        <v>55.02</v>
      </c>
      <c r="H73" s="6">
        <f t="shared" ref="H73:H92" si="28">G73+E73+H72</f>
        <v>57.410909090909094</v>
      </c>
    </row>
    <row r="74" spans="1:8" x14ac:dyDescent="0.3">
      <c r="A74" t="s">
        <v>114</v>
      </c>
      <c r="B74">
        <f>'Making a TrackR with fail rate'!K12</f>
        <v>8</v>
      </c>
      <c r="C74">
        <f t="shared" si="26"/>
        <v>88.818181818181813</v>
      </c>
      <c r="D74" s="6">
        <f t="shared" si="25"/>
        <v>0.13333333333333333</v>
      </c>
      <c r="E74" s="6">
        <f t="shared" si="27"/>
        <v>1.4803030303030305</v>
      </c>
      <c r="H74" s="6">
        <f t="shared" si="28"/>
        <v>58.891212121212121</v>
      </c>
    </row>
    <row r="75" spans="1:8" x14ac:dyDescent="0.3">
      <c r="A75" t="s">
        <v>0</v>
      </c>
      <c r="B75">
        <v>14</v>
      </c>
      <c r="C75">
        <f t="shared" si="26"/>
        <v>102.81818181818181</v>
      </c>
      <c r="D75" s="6">
        <f t="shared" si="25"/>
        <v>0.23333333333333334</v>
      </c>
      <c r="E75" s="6">
        <f t="shared" si="27"/>
        <v>1.7136363636363638</v>
      </c>
      <c r="H75" s="6">
        <f t="shared" si="28"/>
        <v>60.604848484848482</v>
      </c>
    </row>
    <row r="76" spans="1:8" x14ac:dyDescent="0.3">
      <c r="A76" t="s">
        <v>4</v>
      </c>
      <c r="B76">
        <v>3</v>
      </c>
      <c r="C76">
        <f t="shared" si="26"/>
        <v>105.81818181818181</v>
      </c>
      <c r="D76" s="6">
        <f t="shared" si="25"/>
        <v>0.05</v>
      </c>
      <c r="E76" s="6">
        <f t="shared" si="27"/>
        <v>1.7636363636363639</v>
      </c>
      <c r="H76" s="6">
        <f t="shared" si="28"/>
        <v>62.368484848484847</v>
      </c>
    </row>
    <row r="77" spans="1:8" x14ac:dyDescent="0.3">
      <c r="A77" t="s">
        <v>5</v>
      </c>
      <c r="B77">
        <v>7</v>
      </c>
      <c r="C77">
        <f t="shared" si="26"/>
        <v>112.81818181818181</v>
      </c>
      <c r="D77" s="6">
        <f t="shared" si="25"/>
        <v>0.11666666666666667</v>
      </c>
      <c r="E77" s="6">
        <f t="shared" si="27"/>
        <v>1.8803030303030306</v>
      </c>
      <c r="H77" s="6">
        <f t="shared" si="28"/>
        <v>64.24878787878788</v>
      </c>
    </row>
    <row r="78" spans="1:8" x14ac:dyDescent="0.3">
      <c r="A78" t="s">
        <v>11</v>
      </c>
      <c r="B78">
        <v>24</v>
      </c>
      <c r="C78">
        <f t="shared" si="26"/>
        <v>136.81818181818181</v>
      </c>
      <c r="D78" s="6">
        <f t="shared" si="25"/>
        <v>0.4</v>
      </c>
      <c r="E78" s="6">
        <f t="shared" si="27"/>
        <v>2.2803030303030307</v>
      </c>
      <c r="H78" s="6">
        <f t="shared" si="28"/>
        <v>66.529090909090911</v>
      </c>
    </row>
    <row r="79" spans="1:8" x14ac:dyDescent="0.3">
      <c r="A79" t="s">
        <v>6</v>
      </c>
      <c r="B79">
        <v>2</v>
      </c>
      <c r="C79">
        <f t="shared" si="26"/>
        <v>138.81818181818181</v>
      </c>
      <c r="D79" s="6">
        <f t="shared" si="25"/>
        <v>3.3333333333333333E-2</v>
      </c>
      <c r="E79" s="6">
        <f t="shared" si="27"/>
        <v>2.3136363636363639</v>
      </c>
      <c r="H79" s="6">
        <f t="shared" si="28"/>
        <v>68.842727272727274</v>
      </c>
    </row>
    <row r="80" spans="1:8" x14ac:dyDescent="0.3">
      <c r="A80" t="s">
        <v>8</v>
      </c>
      <c r="B80">
        <v>6.6</v>
      </c>
      <c r="C80">
        <f t="shared" si="26"/>
        <v>145.41818181818181</v>
      </c>
      <c r="D80" s="6">
        <f t="shared" si="25"/>
        <v>0.10999999999999999</v>
      </c>
      <c r="E80" s="6">
        <f t="shared" si="27"/>
        <v>2.4236363636363638</v>
      </c>
      <c r="H80" s="6">
        <f t="shared" si="28"/>
        <v>71.266363636363636</v>
      </c>
    </row>
    <row r="81" spans="1:8" x14ac:dyDescent="0.3">
      <c r="A81" t="s">
        <v>9</v>
      </c>
      <c r="B81">
        <v>20</v>
      </c>
      <c r="C81">
        <f t="shared" si="26"/>
        <v>165.41818181818181</v>
      </c>
      <c r="D81" s="6">
        <f t="shared" si="25"/>
        <v>0.33333333333333331</v>
      </c>
      <c r="E81" s="6">
        <f t="shared" si="27"/>
        <v>2.7569696969696973</v>
      </c>
      <c r="H81" s="6">
        <f t="shared" si="28"/>
        <v>74.023333333333326</v>
      </c>
    </row>
    <row r="82" spans="1:8" x14ac:dyDescent="0.3">
      <c r="A82" t="s">
        <v>10</v>
      </c>
      <c r="B82">
        <v>30</v>
      </c>
      <c r="C82">
        <f t="shared" si="26"/>
        <v>195.41818181818181</v>
      </c>
      <c r="D82" s="6">
        <f t="shared" si="25"/>
        <v>0.5</v>
      </c>
      <c r="E82" s="6">
        <f t="shared" si="27"/>
        <v>3.2569696969696973</v>
      </c>
      <c r="H82" s="6">
        <f t="shared" si="28"/>
        <v>77.280303030303017</v>
      </c>
    </row>
    <row r="83" spans="1:8" x14ac:dyDescent="0.3">
      <c r="A83" t="s">
        <v>13</v>
      </c>
      <c r="B83">
        <v>12</v>
      </c>
      <c r="C83">
        <f t="shared" si="26"/>
        <v>207.41818181818181</v>
      </c>
      <c r="D83" s="6">
        <f t="shared" si="25"/>
        <v>0.2</v>
      </c>
      <c r="E83" s="6">
        <f t="shared" si="27"/>
        <v>3.4569696969696975</v>
      </c>
      <c r="H83" s="6">
        <f t="shared" si="28"/>
        <v>80.73727272727271</v>
      </c>
    </row>
    <row r="84" spans="1:8" x14ac:dyDescent="0.3">
      <c r="A84" t="s">
        <v>14</v>
      </c>
      <c r="B84">
        <v>6</v>
      </c>
      <c r="C84">
        <f t="shared" si="26"/>
        <v>213.41818181818181</v>
      </c>
      <c r="D84" s="6">
        <f t="shared" si="25"/>
        <v>0.1</v>
      </c>
      <c r="E84" s="6">
        <f t="shared" si="27"/>
        <v>3.5569696969696976</v>
      </c>
      <c r="H84" s="6">
        <f t="shared" si="28"/>
        <v>84.294242424242412</v>
      </c>
    </row>
    <row r="85" spans="1:8" x14ac:dyDescent="0.3">
      <c r="A85" t="s">
        <v>15</v>
      </c>
      <c r="B85">
        <v>2</v>
      </c>
      <c r="C85">
        <f t="shared" si="26"/>
        <v>215.41818181818181</v>
      </c>
      <c r="D85" s="6">
        <f t="shared" si="25"/>
        <v>3.3333333333333333E-2</v>
      </c>
      <c r="E85" s="6">
        <f t="shared" si="27"/>
        <v>3.5903030303030308</v>
      </c>
      <c r="H85" s="6">
        <f t="shared" si="28"/>
        <v>87.884545454545446</v>
      </c>
    </row>
    <row r="86" spans="1:8" x14ac:dyDescent="0.3">
      <c r="A86" t="s">
        <v>17</v>
      </c>
      <c r="B86">
        <v>4.4000000000000004</v>
      </c>
      <c r="C86">
        <f t="shared" si="26"/>
        <v>219.81818181818181</v>
      </c>
      <c r="D86" s="6">
        <f t="shared" si="25"/>
        <v>7.3333333333333334E-2</v>
      </c>
      <c r="E86" s="6">
        <f t="shared" si="27"/>
        <v>3.663636363636364</v>
      </c>
      <c r="H86" s="6">
        <f t="shared" si="28"/>
        <v>91.548181818181803</v>
      </c>
    </row>
    <row r="87" spans="1:8" x14ac:dyDescent="0.3">
      <c r="A87" t="s">
        <v>18</v>
      </c>
      <c r="B87">
        <v>8.8000000000000007</v>
      </c>
      <c r="C87">
        <f t="shared" si="26"/>
        <v>228.61818181818182</v>
      </c>
      <c r="D87" s="6">
        <f t="shared" si="25"/>
        <v>0.14666666666666667</v>
      </c>
      <c r="E87" s="6">
        <f t="shared" si="27"/>
        <v>3.8103030303030305</v>
      </c>
      <c r="H87" s="6">
        <f t="shared" si="28"/>
        <v>95.358484848484835</v>
      </c>
    </row>
    <row r="88" spans="1:8" x14ac:dyDescent="0.3">
      <c r="A88" t="s">
        <v>19</v>
      </c>
      <c r="B88">
        <v>6</v>
      </c>
      <c r="C88">
        <f t="shared" si="26"/>
        <v>234.61818181818182</v>
      </c>
      <c r="D88" s="6">
        <f t="shared" si="25"/>
        <v>0.1</v>
      </c>
      <c r="E88" s="6">
        <f t="shared" si="27"/>
        <v>3.9103030303030306</v>
      </c>
      <c r="H88" s="6">
        <f t="shared" si="28"/>
        <v>99.268787878787862</v>
      </c>
    </row>
    <row r="89" spans="1:8" x14ac:dyDescent="0.3">
      <c r="A89" t="s">
        <v>6</v>
      </c>
      <c r="B89">
        <v>2</v>
      </c>
      <c r="C89">
        <f t="shared" si="26"/>
        <v>236.61818181818182</v>
      </c>
      <c r="D89" s="6">
        <f t="shared" si="25"/>
        <v>3.3333333333333333E-2</v>
      </c>
      <c r="E89" s="6">
        <f t="shared" si="27"/>
        <v>3.9436363636363638</v>
      </c>
      <c r="H89" s="6">
        <f t="shared" si="28"/>
        <v>103.21242424242422</v>
      </c>
    </row>
    <row r="90" spans="1:8" x14ac:dyDescent="0.3">
      <c r="A90" t="s">
        <v>20</v>
      </c>
      <c r="B90">
        <v>1.2</v>
      </c>
      <c r="C90">
        <f t="shared" si="26"/>
        <v>237.81818181818181</v>
      </c>
      <c r="D90" s="6">
        <f t="shared" si="25"/>
        <v>0.02</v>
      </c>
      <c r="E90" s="6">
        <f t="shared" si="27"/>
        <v>3.9636363636363638</v>
      </c>
      <c r="H90" s="6">
        <f t="shared" si="28"/>
        <v>107.17606060606059</v>
      </c>
    </row>
    <row r="91" spans="1:8" x14ac:dyDescent="0.3">
      <c r="A91" t="s">
        <v>21</v>
      </c>
      <c r="B91">
        <v>1.2</v>
      </c>
      <c r="C91">
        <f t="shared" si="26"/>
        <v>239.0181818181818</v>
      </c>
      <c r="D91" s="6">
        <f t="shared" si="25"/>
        <v>0.02</v>
      </c>
      <c r="E91" s="6">
        <f t="shared" si="27"/>
        <v>3.9836363636363639</v>
      </c>
      <c r="H91" s="6">
        <f t="shared" si="28"/>
        <v>111.15969696969695</v>
      </c>
    </row>
    <row r="92" spans="1:8" x14ac:dyDescent="0.3">
      <c r="A92" t="s">
        <v>22</v>
      </c>
      <c r="B92">
        <v>12</v>
      </c>
      <c r="C92">
        <f t="shared" si="26"/>
        <v>251.0181818181818</v>
      </c>
      <c r="D92" s="6">
        <f t="shared" si="25"/>
        <v>0.2</v>
      </c>
      <c r="E92" s="6">
        <f t="shared" si="27"/>
        <v>4.1836363636363636</v>
      </c>
      <c r="H92" s="6">
        <f t="shared" si="28"/>
        <v>115.34333333333332</v>
      </c>
    </row>
    <row r="94" spans="1:8" x14ac:dyDescent="0.3">
      <c r="A94" t="s">
        <v>109</v>
      </c>
    </row>
    <row r="95" spans="1:8" x14ac:dyDescent="0.3">
      <c r="A95" t="s">
        <v>115</v>
      </c>
      <c r="B95">
        <f>'Making a TrackR with fail rate'!K9</f>
        <v>14.818181818181818</v>
      </c>
      <c r="C95">
        <f>B95</f>
        <v>14.818181818181818</v>
      </c>
      <c r="D95" s="6">
        <f>B95*$B$4</f>
        <v>0.24696969696969698</v>
      </c>
      <c r="E95" s="6">
        <f>D95</f>
        <v>0.24696969696969698</v>
      </c>
      <c r="H95" s="6">
        <f>G95+E95</f>
        <v>0.24696969696969698</v>
      </c>
    </row>
    <row r="96" spans="1:8" x14ac:dyDescent="0.3">
      <c r="A96" t="s">
        <v>112</v>
      </c>
      <c r="B96">
        <f>'Making a TrackR with fail rate'!K15*3</f>
        <v>9</v>
      </c>
      <c r="C96">
        <f>B96+C95</f>
        <v>23.81818181818182</v>
      </c>
      <c r="D96" s="6">
        <f t="shared" ref="D96:D102" si="29">B96*$B$4</f>
        <v>0.15</v>
      </c>
      <c r="E96" s="6">
        <f>D96+E95</f>
        <v>0.39696969696969697</v>
      </c>
      <c r="H96" s="6">
        <f>E96+G96+H95</f>
        <v>0.64393939393939392</v>
      </c>
    </row>
    <row r="97" spans="1:8" x14ac:dyDescent="0.3">
      <c r="A97" t="s">
        <v>113</v>
      </c>
      <c r="B97">
        <f>'Making a TrackR with fail rate'!K6*3</f>
        <v>9</v>
      </c>
      <c r="C97">
        <f t="shared" ref="C97:C102" si="30">B97+C96</f>
        <v>32.81818181818182</v>
      </c>
      <c r="D97" s="6">
        <f t="shared" si="29"/>
        <v>0.15</v>
      </c>
      <c r="E97" s="6">
        <f t="shared" ref="E97:E102" si="31">D97+E96</f>
        <v>0.54696969696969699</v>
      </c>
      <c r="F97" t="s">
        <v>125</v>
      </c>
      <c r="G97" s="9">
        <f>SUM('Price of each component'!B2,'Price of each component'!B3,'Price of each component'!B13)</f>
        <v>9.6900000000000013</v>
      </c>
      <c r="H97" s="6">
        <f t="shared" ref="H97:H102" si="32">E97+G97+H96</f>
        <v>10.880909090909093</v>
      </c>
    </row>
    <row r="98" spans="1:8" x14ac:dyDescent="0.3">
      <c r="A98" t="s">
        <v>114</v>
      </c>
      <c r="B98">
        <f>'Making a TrackR with fail rate'!K12</f>
        <v>8</v>
      </c>
      <c r="C98">
        <f t="shared" si="30"/>
        <v>40.81818181818182</v>
      </c>
      <c r="D98" s="6">
        <f t="shared" si="29"/>
        <v>0.13333333333333333</v>
      </c>
      <c r="E98" s="6">
        <f t="shared" si="31"/>
        <v>0.6803030303030303</v>
      </c>
      <c r="H98" s="6">
        <f t="shared" si="32"/>
        <v>11.561212121212122</v>
      </c>
    </row>
    <row r="99" spans="1:8" x14ac:dyDescent="0.3">
      <c r="A99" t="s">
        <v>124</v>
      </c>
      <c r="B99">
        <v>8</v>
      </c>
      <c r="C99">
        <f t="shared" si="30"/>
        <v>48.81818181818182</v>
      </c>
      <c r="D99" s="6">
        <f t="shared" si="29"/>
        <v>0.13333333333333333</v>
      </c>
      <c r="E99" s="6">
        <f t="shared" si="31"/>
        <v>0.8136363636363636</v>
      </c>
      <c r="H99" s="6">
        <f t="shared" si="32"/>
        <v>12.374848484848487</v>
      </c>
    </row>
    <row r="100" spans="1:8" x14ac:dyDescent="0.3">
      <c r="A100" t="s">
        <v>0</v>
      </c>
      <c r="B100">
        <v>14</v>
      </c>
      <c r="C100">
        <f t="shared" si="30"/>
        <v>62.81818181818182</v>
      </c>
      <c r="D100" s="6">
        <f t="shared" si="29"/>
        <v>0.23333333333333334</v>
      </c>
      <c r="E100" s="6">
        <f t="shared" si="31"/>
        <v>1.0469696969696969</v>
      </c>
      <c r="H100" s="6">
        <f t="shared" si="32"/>
        <v>13.421818181818184</v>
      </c>
    </row>
    <row r="101" spans="1:8" x14ac:dyDescent="0.3">
      <c r="A101" t="s">
        <v>4</v>
      </c>
      <c r="B101">
        <v>3</v>
      </c>
      <c r="C101">
        <f t="shared" si="30"/>
        <v>65.818181818181813</v>
      </c>
      <c r="D101" s="6">
        <f t="shared" si="29"/>
        <v>0.05</v>
      </c>
      <c r="E101" s="6">
        <f t="shared" si="31"/>
        <v>1.0969696969696969</v>
      </c>
      <c r="H101" s="6">
        <f t="shared" si="32"/>
        <v>14.518787878787881</v>
      </c>
    </row>
    <row r="102" spans="1:8" x14ac:dyDescent="0.3">
      <c r="A102" t="s">
        <v>99</v>
      </c>
      <c r="B102">
        <v>7</v>
      </c>
      <c r="C102">
        <f t="shared" si="30"/>
        <v>72.818181818181813</v>
      </c>
      <c r="D102" s="6">
        <f t="shared" si="29"/>
        <v>0.11666666666666667</v>
      </c>
      <c r="E102" s="6">
        <f t="shared" si="31"/>
        <v>1.2136363636363636</v>
      </c>
      <c r="H102" s="6">
        <f t="shared" si="32"/>
        <v>15.732424242424244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Making a TrackR with fail rate</vt:lpstr>
      <vt:lpstr>Making a TrackR</vt:lpstr>
      <vt:lpstr>Profit - Loss (Sunny Day)</vt:lpstr>
      <vt:lpstr>Profit - Loss fail rate</vt:lpstr>
      <vt:lpstr>Price of each component</vt:lpstr>
      <vt:lpstr>Production Cost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Solanki</dc:creator>
  <cp:lastModifiedBy>Vaibhav Solanki</cp:lastModifiedBy>
  <dcterms:created xsi:type="dcterms:W3CDTF">2019-07-29T17:44:13Z</dcterms:created>
  <dcterms:modified xsi:type="dcterms:W3CDTF">2019-08-13T03:04:03Z</dcterms:modified>
</cp:coreProperties>
</file>