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4355" windowHeight="7230"/>
  </bookViews>
  <sheets>
    <sheet name="SORT BY EMITEN" sheetId="1" r:id="rId1"/>
    <sheet name="SORT BY NO" sheetId="2" r:id="rId2"/>
    <sheet name="Input" sheetId="3" r:id="rId3"/>
  </sheets>
  <calcPr calcId="145621"/>
</workbook>
</file>

<file path=xl/calcChain.xml><?xml version="1.0" encoding="utf-8"?>
<calcChain xmlns="http://schemas.openxmlformats.org/spreadsheetml/2006/main">
  <c r="C1" i="1" l="1"/>
  <c r="F43" i="1" l="1"/>
  <c r="F42" i="1"/>
  <c r="F41" i="1"/>
  <c r="F40" i="1"/>
  <c r="F39" i="1"/>
  <c r="F38" i="1"/>
  <c r="F33" i="1"/>
  <c r="F32" i="1"/>
  <c r="F31" i="1"/>
  <c r="F26" i="1"/>
  <c r="F25" i="1"/>
  <c r="F19" i="1"/>
  <c r="F18" i="1"/>
  <c r="F17" i="1"/>
  <c r="F16" i="1"/>
  <c r="F15" i="1"/>
  <c r="F14" i="1"/>
  <c r="F13" i="1"/>
  <c r="F8" i="1"/>
  <c r="F7" i="1"/>
  <c r="F6" i="1"/>
  <c r="F5" i="1"/>
  <c r="F4" i="1"/>
  <c r="J12" i="3"/>
  <c r="J7" i="3"/>
  <c r="J15" i="3"/>
  <c r="E43" i="1"/>
  <c r="E42" i="1"/>
  <c r="E41" i="1"/>
  <c r="E40" i="1"/>
  <c r="E39" i="1"/>
  <c r="E38" i="1"/>
  <c r="E33" i="1"/>
  <c r="E32" i="1"/>
  <c r="E31" i="1"/>
  <c r="E26" i="1"/>
  <c r="E25" i="1"/>
  <c r="E19" i="1"/>
  <c r="E18" i="1"/>
  <c r="E17" i="1"/>
  <c r="E16" i="1"/>
  <c r="E15" i="1"/>
  <c r="E14" i="1"/>
  <c r="E13" i="1"/>
  <c r="E8" i="1"/>
  <c r="E7" i="1"/>
  <c r="E6" i="1"/>
  <c r="E5" i="1"/>
  <c r="E4" i="1"/>
  <c r="J43" i="1" l="1"/>
  <c r="J42" i="1"/>
  <c r="J41" i="1"/>
  <c r="J40" i="1"/>
  <c r="J39" i="1"/>
  <c r="J38" i="1"/>
  <c r="J33" i="1"/>
  <c r="J32" i="1"/>
  <c r="J31" i="1"/>
  <c r="J26" i="1"/>
  <c r="J25" i="1"/>
  <c r="J19" i="1"/>
  <c r="J18" i="1"/>
  <c r="J17" i="1"/>
  <c r="J16" i="1"/>
  <c r="J15" i="1"/>
  <c r="J14" i="1"/>
  <c r="J13" i="1"/>
  <c r="J8" i="1"/>
  <c r="J7" i="1"/>
  <c r="J6" i="1"/>
  <c r="J5" i="1"/>
  <c r="J4" i="1"/>
  <c r="I43" i="1" l="1"/>
  <c r="I42" i="1"/>
  <c r="I41" i="1"/>
  <c r="I40" i="1"/>
  <c r="I39" i="1"/>
  <c r="I38" i="1"/>
  <c r="I33" i="1"/>
  <c r="I32" i="1"/>
  <c r="I31" i="1"/>
  <c r="I26" i="1"/>
  <c r="I25" i="1"/>
  <c r="I19" i="1"/>
  <c r="I18" i="1"/>
  <c r="I17" i="1"/>
  <c r="I16" i="1"/>
  <c r="I15" i="1"/>
  <c r="I14" i="1"/>
  <c r="I13" i="1"/>
  <c r="I8" i="1"/>
  <c r="I7" i="1"/>
  <c r="I6" i="1"/>
  <c r="I5" i="1"/>
  <c r="I4" i="1"/>
  <c r="H43" i="1"/>
  <c r="H42" i="1"/>
  <c r="H41" i="1"/>
  <c r="H39" i="1"/>
  <c r="H38" i="1"/>
  <c r="H33" i="1"/>
  <c r="H32" i="1"/>
  <c r="H31" i="1"/>
  <c r="H26" i="1"/>
  <c r="H25" i="1"/>
  <c r="H19" i="1"/>
  <c r="H18" i="1"/>
  <c r="H17" i="1"/>
  <c r="H16" i="1"/>
  <c r="H15" i="1"/>
  <c r="H14" i="1"/>
  <c r="H13" i="1"/>
  <c r="H8" i="1"/>
  <c r="H7" i="1"/>
  <c r="H6" i="1"/>
  <c r="H5" i="1"/>
  <c r="H4" i="1"/>
  <c r="F1" i="2" l="1"/>
  <c r="G1" i="2"/>
  <c r="I1" i="2"/>
  <c r="J1" i="2"/>
  <c r="C1" i="2"/>
  <c r="F2" i="2" s="1"/>
  <c r="L1" i="1"/>
  <c r="L1" i="2" s="1"/>
  <c r="E36" i="1"/>
  <c r="N43" i="2"/>
  <c r="J43" i="2"/>
  <c r="I43" i="2"/>
  <c r="F43" i="2"/>
  <c r="E43" i="2"/>
  <c r="C43" i="2"/>
  <c r="J42" i="2"/>
  <c r="I42" i="2"/>
  <c r="H42" i="2"/>
  <c r="F42" i="2"/>
  <c r="E42" i="2"/>
  <c r="C42" i="2"/>
  <c r="J41" i="2"/>
  <c r="I41" i="2"/>
  <c r="H41" i="2"/>
  <c r="F41" i="2"/>
  <c r="E41" i="2"/>
  <c r="C41" i="2"/>
  <c r="N40" i="2"/>
  <c r="J40" i="2"/>
  <c r="I40" i="2"/>
  <c r="H40" i="2"/>
  <c r="F40" i="2"/>
  <c r="E40" i="2"/>
  <c r="C40" i="2"/>
  <c r="N39" i="2"/>
  <c r="J39" i="2"/>
  <c r="I39" i="2"/>
  <c r="H39" i="2"/>
  <c r="F39" i="2"/>
  <c r="E39" i="2"/>
  <c r="C39" i="2"/>
  <c r="N38" i="2"/>
  <c r="J38" i="2"/>
  <c r="I38" i="2"/>
  <c r="H38" i="2"/>
  <c r="F38" i="2"/>
  <c r="E38" i="2"/>
  <c r="C38" i="2"/>
  <c r="J33" i="2"/>
  <c r="I33" i="2"/>
  <c r="H33" i="2"/>
  <c r="F33" i="2"/>
  <c r="E33" i="2"/>
  <c r="C33" i="2"/>
  <c r="J32" i="2"/>
  <c r="I32" i="2"/>
  <c r="H32" i="2"/>
  <c r="F32" i="2"/>
  <c r="E32" i="2"/>
  <c r="C32" i="2"/>
  <c r="J31" i="2"/>
  <c r="I31" i="2"/>
  <c r="H31" i="2"/>
  <c r="F31" i="2"/>
  <c r="E31" i="2"/>
  <c r="C31" i="2"/>
  <c r="J26" i="2"/>
  <c r="I26" i="2"/>
  <c r="H26" i="2"/>
  <c r="F26" i="2"/>
  <c r="E26" i="2"/>
  <c r="C26" i="2"/>
  <c r="N25" i="2"/>
  <c r="J25" i="2"/>
  <c r="I25" i="2"/>
  <c r="H25" i="2"/>
  <c r="F25" i="2"/>
  <c r="E25" i="2"/>
  <c r="C25" i="2"/>
  <c r="J19" i="2"/>
  <c r="I19" i="2"/>
  <c r="H19" i="2"/>
  <c r="F19" i="2"/>
  <c r="E19" i="2"/>
  <c r="C19" i="2"/>
  <c r="N18" i="2"/>
  <c r="J18" i="2"/>
  <c r="I18" i="2"/>
  <c r="H18" i="2"/>
  <c r="F18" i="2"/>
  <c r="E18" i="2"/>
  <c r="C18" i="2"/>
  <c r="J17" i="2"/>
  <c r="I17" i="2"/>
  <c r="H17" i="2"/>
  <c r="F17" i="2"/>
  <c r="E17" i="2"/>
  <c r="C17" i="2"/>
  <c r="J16" i="2"/>
  <c r="I16" i="2"/>
  <c r="H16" i="2"/>
  <c r="F16" i="2"/>
  <c r="E16" i="2"/>
  <c r="C16" i="2"/>
  <c r="N15" i="2"/>
  <c r="J15" i="2"/>
  <c r="I15" i="2"/>
  <c r="H15" i="2"/>
  <c r="F15" i="2"/>
  <c r="E15" i="2"/>
  <c r="C15" i="2"/>
  <c r="N14" i="2"/>
  <c r="J14" i="2"/>
  <c r="I14" i="2"/>
  <c r="H14" i="2"/>
  <c r="F14" i="2"/>
  <c r="E14" i="2"/>
  <c r="C14" i="2"/>
  <c r="N13" i="2"/>
  <c r="J13" i="2"/>
  <c r="I13" i="2"/>
  <c r="H13" i="2"/>
  <c r="F13" i="2"/>
  <c r="E13" i="2"/>
  <c r="C13" i="2"/>
  <c r="J8" i="2"/>
  <c r="I8" i="2"/>
  <c r="H8" i="2"/>
  <c r="F8" i="2"/>
  <c r="E8" i="2"/>
  <c r="C8" i="2"/>
  <c r="J7" i="2"/>
  <c r="I7" i="2"/>
  <c r="H7" i="2"/>
  <c r="F7" i="2"/>
  <c r="E7" i="2"/>
  <c r="C7" i="2"/>
  <c r="N6" i="2"/>
  <c r="J6" i="2"/>
  <c r="I6" i="2"/>
  <c r="H6" i="2"/>
  <c r="F6" i="2"/>
  <c r="E6" i="2"/>
  <c r="C6" i="2"/>
  <c r="N5" i="2"/>
  <c r="J5" i="2"/>
  <c r="I5" i="2"/>
  <c r="H5" i="2"/>
  <c r="F5" i="2"/>
  <c r="E5" i="2"/>
  <c r="C5" i="2"/>
  <c r="J4" i="2"/>
  <c r="I4" i="2"/>
  <c r="H4" i="2"/>
  <c r="F4" i="2"/>
  <c r="E4" i="2"/>
  <c r="C4" i="2"/>
  <c r="F36" i="2"/>
  <c r="M20" i="2"/>
  <c r="L20" i="2"/>
  <c r="K20" i="2"/>
  <c r="G20" i="2"/>
  <c r="F11" i="2"/>
  <c r="M1" i="1" l="1"/>
  <c r="M1" i="2" s="1"/>
  <c r="E34" i="2"/>
  <c r="E27" i="2"/>
  <c r="E44" i="2"/>
  <c r="G36" i="2" s="1"/>
  <c r="E21" i="2"/>
  <c r="G11" i="2" s="1"/>
  <c r="E9" i="2"/>
  <c r="G2" i="2" s="1"/>
  <c r="D20" i="2"/>
  <c r="F23" i="2"/>
  <c r="F29" i="2"/>
  <c r="K38" i="1"/>
  <c r="K41" i="2" s="1"/>
  <c r="G29" i="2" l="1"/>
  <c r="G23" i="2"/>
  <c r="L40" i="1" l="1"/>
  <c r="L43" i="2" s="1"/>
  <c r="L43" i="1"/>
  <c r="L42" i="2" s="1"/>
  <c r="L38" i="1"/>
  <c r="L41" i="2" s="1"/>
  <c r="L42" i="1"/>
  <c r="L40" i="2" s="1"/>
  <c r="L41" i="1"/>
  <c r="L39" i="2" s="1"/>
  <c r="L39" i="1"/>
  <c r="L38" i="2" s="1"/>
  <c r="L32" i="1"/>
  <c r="L31" i="1"/>
  <c r="L33" i="1"/>
  <c r="L25" i="1"/>
  <c r="L26" i="1"/>
  <c r="L25" i="2" s="1"/>
  <c r="L19" i="1"/>
  <c r="L19" i="2" s="1"/>
  <c r="L18" i="1"/>
  <c r="L18" i="2" s="1"/>
  <c r="L17" i="1"/>
  <c r="L13" i="1"/>
  <c r="L16" i="1"/>
  <c r="L15" i="2" s="1"/>
  <c r="L15" i="1"/>
  <c r="L14" i="1"/>
  <c r="L20" i="1"/>
  <c r="L8" i="1"/>
  <c r="L4" i="1"/>
  <c r="L7" i="1"/>
  <c r="L6" i="2" s="1"/>
  <c r="L5" i="1"/>
  <c r="L5" i="2" s="1"/>
  <c r="L6" i="1"/>
  <c r="L4" i="2" s="1"/>
  <c r="M41" i="1"/>
  <c r="M39" i="2" s="1"/>
  <c r="M42" i="1"/>
  <c r="M40" i="2" s="1"/>
  <c r="M38" i="1"/>
  <c r="M41" i="2" s="1"/>
  <c r="M43" i="1"/>
  <c r="M42" i="2" s="1"/>
  <c r="M40" i="1"/>
  <c r="M43" i="2" s="1"/>
  <c r="M39" i="1"/>
  <c r="M38" i="2" s="1"/>
  <c r="M26" i="1"/>
  <c r="M25" i="2" s="1"/>
  <c r="M16" i="1"/>
  <c r="M15" i="2" s="1"/>
  <c r="M18" i="1"/>
  <c r="M18" i="2" s="1"/>
  <c r="M19" i="1"/>
  <c r="M19" i="2" s="1"/>
  <c r="M20" i="1"/>
  <c r="M5" i="1"/>
  <c r="M5" i="2" s="1"/>
  <c r="M7" i="1"/>
  <c r="M6" i="2" s="1"/>
  <c r="M14" i="1" l="1"/>
  <c r="M13" i="2" s="1"/>
  <c r="L13" i="2"/>
  <c r="M31" i="1"/>
  <c r="M32" i="2" s="1"/>
  <c r="L32" i="2"/>
  <c r="M33" i="1"/>
  <c r="M31" i="2" s="1"/>
  <c r="L31" i="2"/>
  <c r="M32" i="1"/>
  <c r="M33" i="2" s="1"/>
  <c r="L33" i="2"/>
  <c r="M25" i="1"/>
  <c r="M26" i="2" s="1"/>
  <c r="L26" i="2"/>
  <c r="M17" i="1"/>
  <c r="M17" i="2" s="1"/>
  <c r="L17" i="2"/>
  <c r="M15" i="1"/>
  <c r="M14" i="2" s="1"/>
  <c r="L14" i="2"/>
  <c r="M13" i="1"/>
  <c r="M16" i="2" s="1"/>
  <c r="L16" i="2"/>
  <c r="M8" i="1"/>
  <c r="M8" i="2" s="1"/>
  <c r="L8" i="2"/>
  <c r="M4" i="1"/>
  <c r="M7" i="2" s="1"/>
  <c r="L7" i="2"/>
  <c r="K20" i="1" l="1"/>
  <c r="K14" i="1"/>
  <c r="K13" i="2" s="1"/>
  <c r="K15" i="1"/>
  <c r="K14" i="2" s="1"/>
  <c r="K16" i="1"/>
  <c r="K15" i="2" s="1"/>
  <c r="K13" i="1"/>
  <c r="K16" i="2" s="1"/>
  <c r="K17" i="1"/>
  <c r="K17" i="2" s="1"/>
  <c r="K18" i="1"/>
  <c r="K18" i="2" s="1"/>
  <c r="K19" i="1"/>
  <c r="K19" i="2" s="1"/>
  <c r="K42" i="1" l="1"/>
  <c r="K40" i="2" s="1"/>
  <c r="K41" i="1"/>
  <c r="K39" i="2" s="1"/>
  <c r="K39" i="1"/>
  <c r="K38" i="2" s="1"/>
  <c r="K7" i="1"/>
  <c r="K6" i="2" s="1"/>
  <c r="K5" i="1"/>
  <c r="K5" i="2" s="1"/>
  <c r="K26" i="1"/>
  <c r="K25" i="2" s="1"/>
  <c r="K31" i="1" l="1"/>
  <c r="K32" i="2" s="1"/>
  <c r="K8" i="1"/>
  <c r="K8" i="2" s="1"/>
  <c r="K43" i="1"/>
  <c r="K42" i="2" s="1"/>
  <c r="K32" i="1"/>
  <c r="K33" i="2" s="1"/>
  <c r="K33" i="1"/>
  <c r="K31" i="2" s="1"/>
  <c r="K25" i="1"/>
  <c r="K26" i="2" s="1"/>
  <c r="K4" i="1"/>
  <c r="K7" i="2" s="1"/>
  <c r="K6" i="1"/>
  <c r="K4" i="2" s="1"/>
  <c r="E27" i="1" l="1"/>
  <c r="D40" i="1"/>
  <c r="D43" i="2" s="1"/>
  <c r="D43" i="1"/>
  <c r="D42" i="2" s="1"/>
  <c r="D38" i="1"/>
  <c r="D41" i="2" s="1"/>
  <c r="D42" i="1"/>
  <c r="D40" i="2" s="1"/>
  <c r="D41" i="1"/>
  <c r="D39" i="2" s="1"/>
  <c r="D39" i="1"/>
  <c r="D38" i="2" s="1"/>
  <c r="D32" i="1"/>
  <c r="D33" i="2" s="1"/>
  <c r="D31" i="1"/>
  <c r="D32" i="2" s="1"/>
  <c r="D33" i="1"/>
  <c r="D31" i="2" s="1"/>
  <c r="D25" i="1"/>
  <c r="D26" i="2" s="1"/>
  <c r="D26" i="1"/>
  <c r="D25" i="2" s="1"/>
  <c r="D19" i="1"/>
  <c r="D19" i="2" s="1"/>
  <c r="D18" i="1"/>
  <c r="D18" i="2" s="1"/>
  <c r="D17" i="1"/>
  <c r="D17" i="2" s="1"/>
  <c r="D13" i="1"/>
  <c r="D16" i="2" s="1"/>
  <c r="D16" i="1"/>
  <c r="D15" i="2" s="1"/>
  <c r="D15" i="1"/>
  <c r="D14" i="2" s="1"/>
  <c r="D14" i="1"/>
  <c r="D13" i="2" s="1"/>
  <c r="D20" i="1"/>
  <c r="D4" i="1"/>
  <c r="D7" i="2" s="1"/>
  <c r="D7" i="1"/>
  <c r="D6" i="2" s="1"/>
  <c r="D5" i="1"/>
  <c r="D5" i="2" s="1"/>
  <c r="D6" i="1"/>
  <c r="D4" i="2" s="1"/>
  <c r="D8" i="1"/>
  <c r="D8" i="2" s="1"/>
  <c r="M6" i="1"/>
  <c r="M4" i="2" s="1"/>
  <c r="G40" i="1" l="1"/>
  <c r="G43" i="2" s="1"/>
  <c r="G43" i="1"/>
  <c r="G38" i="1"/>
  <c r="G42" i="1"/>
  <c r="G40" i="2" s="1"/>
  <c r="G41" i="1"/>
  <c r="G39" i="2" s="1"/>
  <c r="G39" i="1"/>
  <c r="G38" i="2" s="1"/>
  <c r="G32" i="1"/>
  <c r="G31" i="1"/>
  <c r="G33" i="1"/>
  <c r="G25" i="1"/>
  <c r="G26" i="1"/>
  <c r="G25" i="2" s="1"/>
  <c r="G18" i="1"/>
  <c r="G18" i="2" s="1"/>
  <c r="G17" i="1"/>
  <c r="G13" i="1"/>
  <c r="G16" i="1"/>
  <c r="G15" i="2" s="1"/>
  <c r="G15" i="1"/>
  <c r="G14" i="2" s="1"/>
  <c r="G14" i="1"/>
  <c r="G13" i="2" s="1"/>
  <c r="G20" i="1"/>
  <c r="G4" i="1"/>
  <c r="G7" i="1"/>
  <c r="G6" i="2" s="1"/>
  <c r="G5" i="1"/>
  <c r="G5" i="2" s="1"/>
  <c r="G6" i="1"/>
  <c r="G8" i="1"/>
  <c r="E44" i="1"/>
  <c r="E34" i="1"/>
  <c r="E21" i="1"/>
  <c r="F36" i="1"/>
  <c r="F29" i="1"/>
  <c r="F2" i="1"/>
  <c r="F11" i="1"/>
  <c r="F23" i="1"/>
  <c r="N43" i="1" l="1"/>
  <c r="N42" i="2" s="1"/>
  <c r="G42" i="2"/>
  <c r="N38" i="1"/>
  <c r="N41" i="2" s="1"/>
  <c r="G41" i="2"/>
  <c r="N31" i="1"/>
  <c r="N32" i="2" s="1"/>
  <c r="G32" i="2"/>
  <c r="N33" i="1"/>
  <c r="N31" i="2" s="1"/>
  <c r="G31" i="2"/>
  <c r="N32" i="1"/>
  <c r="N33" i="2" s="1"/>
  <c r="G33" i="2"/>
  <c r="N25" i="1"/>
  <c r="N26" i="2" s="1"/>
  <c r="G26" i="2"/>
  <c r="N13" i="1"/>
  <c r="N16" i="2" s="1"/>
  <c r="G16" i="2"/>
  <c r="N17" i="1"/>
  <c r="N17" i="2" s="1"/>
  <c r="G17" i="2"/>
  <c r="N6" i="1"/>
  <c r="N4" i="2" s="1"/>
  <c r="G4" i="2"/>
  <c r="N8" i="1"/>
  <c r="N8" i="2" s="1"/>
  <c r="G8" i="2"/>
  <c r="N4" i="1"/>
  <c r="N7" i="2" s="1"/>
  <c r="G7" i="2"/>
  <c r="N19" i="1"/>
  <c r="N19" i="2" s="1"/>
  <c r="G19" i="2"/>
  <c r="G29" i="1"/>
  <c r="G36" i="1"/>
  <c r="G11" i="1"/>
  <c r="G23" i="1"/>
  <c r="E9" i="1"/>
  <c r="D1" i="1" s="1"/>
  <c r="E1" i="1" l="1"/>
  <c r="E1" i="2" s="1"/>
  <c r="D1" i="2"/>
  <c r="G2" i="1"/>
  <c r="H40" i="1" l="1"/>
  <c r="H43" i="2" s="1"/>
  <c r="K40" i="1" l="1"/>
  <c r="K43" i="2" s="1"/>
</calcChain>
</file>

<file path=xl/sharedStrings.xml><?xml version="1.0" encoding="utf-8"?>
<sst xmlns="http://schemas.openxmlformats.org/spreadsheetml/2006/main" count="266" uniqueCount="45">
  <si>
    <t>GOODS</t>
  </si>
  <si>
    <t>BANKING</t>
  </si>
  <si>
    <t>CAPITAL</t>
  </si>
  <si>
    <t>INFRA</t>
  </si>
  <si>
    <t>PROPERTY</t>
  </si>
  <si>
    <t>OTHERS</t>
  </si>
  <si>
    <t>BBRI</t>
  </si>
  <si>
    <t>BBNI</t>
  </si>
  <si>
    <t>BMRI</t>
  </si>
  <si>
    <t>BBCA</t>
  </si>
  <si>
    <t>BTPS</t>
  </si>
  <si>
    <t>NO</t>
  </si>
  <si>
    <t>UNVR</t>
  </si>
  <si>
    <t>ASII</t>
  </si>
  <si>
    <t>ICBP</t>
  </si>
  <si>
    <t>KLBF</t>
  </si>
  <si>
    <t>ACES</t>
  </si>
  <si>
    <t>MAPI</t>
  </si>
  <si>
    <t>MYOR</t>
  </si>
  <si>
    <t>SIDO</t>
  </si>
  <si>
    <t>SMGR</t>
  </si>
  <si>
    <t>JSMR</t>
  </si>
  <si>
    <t>PWON</t>
  </si>
  <si>
    <t>BSDE</t>
  </si>
  <si>
    <t>CTRA</t>
  </si>
  <si>
    <t>MIKA</t>
  </si>
  <si>
    <t>SMSM</t>
  </si>
  <si>
    <t>TLKM</t>
  </si>
  <si>
    <t>ASSA</t>
  </si>
  <si>
    <t>WOOD</t>
  </si>
  <si>
    <t>PRDA</t>
  </si>
  <si>
    <t>BBP</t>
  </si>
  <si>
    <t>AMOUNT</t>
  </si>
  <si>
    <t>AVG</t>
  </si>
  <si>
    <t>AVG (5%)</t>
  </si>
  <si>
    <t>TP</t>
  </si>
  <si>
    <t>CP</t>
  </si>
  <si>
    <t>P/L</t>
  </si>
  <si>
    <t>AVG-D</t>
  </si>
  <si>
    <t>MAX %</t>
  </si>
  <si>
    <t>MAX AMT</t>
  </si>
  <si>
    <t>P/L %</t>
  </si>
  <si>
    <t>CP/BBP (%)</t>
  </si>
  <si>
    <t>TOTAL EQ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</si>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</sst>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E7F9FF"/>
        <bgColor indexed="64"/>
      </patternFill>
    </fill>
  </fills>
  <borders count="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51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4" fontId="2" fillId="3" borderId="1" xfId="3" applyNumberFormat="1" applyFont="1" applyBorder="1" applyAlignment="1">
      <alignment horizontal="center" vertical="center"/>
    </xf>
    <xf numFmtId="164" fontId="2" fillId="3" borderId="1" xfId="3" applyNumberFormat="1" applyFont="1" applyBorder="1" applyAlignment="1">
      <alignment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vertical="center"/>
    </xf>
    <xf numFmtId="164" fontId="2" fillId="4" borderId="1" xfId="4" applyNumberFormat="1" applyFont="1" applyBorder="1" applyAlignment="1">
      <alignment vertical="center"/>
    </xf>
    <xf numFmtId="164" fontId="2" fillId="4" borderId="1" xfId="4" applyNumberFormat="1" applyFont="1" applyBorder="1" applyAlignment="1">
      <alignment horizontal="center" vertical="center"/>
    </xf>
    <xf numFmtId="164" fontId="1" fillId="5" borderId="1" xfId="5" applyNumberFormat="1" applyBorder="1" applyAlignment="1">
      <alignment horizontal="center" vertical="center"/>
    </xf>
    <xf numFmtId="164" fontId="1" fillId="5" borderId="1" xfId="5" applyNumberFormat="1" applyBorder="1" applyAlignment="1">
      <alignment vertical="center"/>
    </xf>
    <xf numFmtId="164" fontId="4" fillId="6" borderId="1" xfId="6" applyNumberForma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43" fontId="2" fillId="3" borderId="1" xfId="3" applyNumberFormat="1" applyFont="1" applyBorder="1" applyAlignment="1">
      <alignment horizontal="center" vertical="center"/>
    </xf>
    <xf numFmtId="43" fontId="2" fillId="4" borderId="1" xfId="4" applyNumberFormat="1" applyFont="1" applyBorder="1" applyAlignment="1">
      <alignment horizontal="center" vertical="center"/>
    </xf>
    <xf numFmtId="43" fontId="1" fillId="5" borderId="1" xfId="5" applyNumberFormat="1" applyBorder="1" applyAlignment="1">
      <alignment horizontal="center" vertical="center"/>
    </xf>
    <xf numFmtId="43" fontId="0" fillId="0" borderId="0" xfId="0" applyNumberFormat="1"/>
    <xf numFmtId="164" fontId="5" fillId="2" borderId="1" xfId="2" applyNumberFormat="1" applyFont="1" applyBorder="1" applyAlignment="1">
      <alignment horizontal="center" vertical="center"/>
    </xf>
    <xf numFmtId="164" fontId="5" fillId="2" borderId="1" xfId="2" applyNumberFormat="1" applyFont="1" applyBorder="1" applyAlignment="1">
      <alignment vertical="center"/>
    </xf>
    <xf numFmtId="164" fontId="6" fillId="6" borderId="1" xfId="6" applyNumberFormat="1" applyFont="1" applyBorder="1" applyAlignment="1">
      <alignment vertical="center"/>
    </xf>
    <xf numFmtId="43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164" fontId="5" fillId="0" borderId="1" xfId="1" applyNumberFormat="1" applyFont="1" applyBorder="1" applyAlignment="1">
      <alignment vertical="center"/>
    </xf>
    <xf numFmtId="164" fontId="7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4" fontId="3" fillId="6" borderId="1" xfId="6" applyNumberFormat="1" applyFont="1" applyBorder="1" applyAlignment="1">
      <alignment vertical="center"/>
    </xf>
    <xf numFmtId="164" fontId="1" fillId="2" borderId="1" xfId="2" applyNumberFormat="1" applyFont="1" applyBorder="1" applyAlignment="1">
      <alignment horizontal="center" vertical="center"/>
    </xf>
    <xf numFmtId="164" fontId="1" fillId="2" borderId="1" xfId="2" applyNumberFormat="1" applyFont="1" applyBorder="1" applyAlignment="1">
      <alignment vertical="center"/>
    </xf>
    <xf numFmtId="164" fontId="4" fillId="6" borderId="1" xfId="6" applyNumberFormat="1" applyFont="1" applyBorder="1" applyAlignment="1">
      <alignment vertical="center"/>
    </xf>
    <xf numFmtId="43" fontId="1" fillId="0" borderId="1" xfId="1" applyNumberFormat="1" applyFont="1" applyBorder="1" applyAlignment="1">
      <alignment horizontal="center" vertical="center"/>
    </xf>
    <xf numFmtId="164" fontId="5" fillId="7" borderId="1" xfId="2" applyNumberFormat="1" applyFont="1" applyFill="1" applyBorder="1" applyAlignment="1">
      <alignment vertical="center"/>
    </xf>
    <xf numFmtId="164" fontId="0" fillId="7" borderId="1" xfId="1" applyNumberFormat="1" applyFont="1" applyFill="1" applyBorder="1" applyAlignment="1">
      <alignment vertical="center"/>
    </xf>
    <xf numFmtId="164" fontId="3" fillId="7" borderId="1" xfId="1" applyNumberFormat="1" applyFont="1" applyFill="1" applyBorder="1" applyAlignment="1">
      <alignment vertical="center"/>
    </xf>
    <xf numFmtId="164" fontId="1" fillId="7" borderId="1" xfId="2" applyNumberFormat="1" applyFont="1" applyFill="1" applyBorder="1" applyAlignment="1">
      <alignment vertical="center"/>
    </xf>
    <xf numFmtId="164" fontId="1" fillId="7" borderId="1" xfId="1" applyNumberFormat="1" applyFont="1" applyFill="1" applyBorder="1" applyAlignment="1">
      <alignment vertical="center"/>
    </xf>
    <xf numFmtId="43" fontId="5" fillId="0" borderId="1" xfId="2" applyNumberFormat="1" applyFont="1" applyFill="1" applyBorder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43" fontId="3" fillId="0" borderId="1" xfId="2" applyNumberFormat="1" applyFont="1" applyFill="1" applyBorder="1" applyAlignment="1">
      <alignment vertical="center"/>
    </xf>
    <xf numFmtId="43" fontId="1" fillId="0" borderId="1" xfId="2" applyNumberFormat="1" applyFont="1" applyFill="1" applyBorder="1" applyAlignment="1">
      <alignment vertical="center"/>
    </xf>
    <xf numFmtId="164" fontId="5" fillId="7" borderId="1" xfId="1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left" vertical="center"/>
    </xf>
    <xf numFmtId="164" fontId="5" fillId="0" borderId="1" xfId="6" applyNumberFormat="1" applyFont="1" applyFill="1" applyBorder="1" applyAlignment="1">
      <alignment vertical="center"/>
    </xf>
    <xf numFmtId="164" fontId="1" fillId="0" borderId="1" xfId="6" applyNumberFormat="1" applyFont="1" applyFill="1" applyBorder="1" applyAlignment="1">
      <alignment vertical="center"/>
    </xf>
    <xf numFmtId="43" fontId="0" fillId="0" borderId="0" xfId="1" applyFont="1"/>
    <xf numFmtId="164" fontId="0" fillId="0" borderId="0" xfId="1" applyNumberFormat="1" applyFont="1"/>
  </cellXfs>
  <cellStyles count="7">
    <cellStyle name="20% - Accent1" xfId="2" builtinId="30"/>
    <cellStyle name="40% - Accent6" xfId="5" builtinId="51"/>
    <cellStyle name="Accent3" xfId="4" builtinId="37"/>
    <cellStyle name="Accent5" xfId="3" builtinId="45"/>
    <cellStyle name="Comma" xfId="1" builtinId="3"/>
    <cellStyle name="Neutral" xfId="6" builtinId="28"/>
    <cellStyle name="Normal" xfId="0" builtinId="0"/>
  </cellStyles>
  <dxfs count="78"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strike val="0"/>
        <color rgb="FF00B050"/>
      </font>
    </dxf>
    <dxf>
      <font>
        <strike val="0"/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FC5C5"/>
      <color rgb="FFE7F9FF"/>
      <color rgb="FFB3EBF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0" zoomScaleNormal="70" workbookViewId="0">
      <selection activeCell="E6" sqref="E6"/>
    </sheetView>
  </sheetViews>
  <sheetFormatPr defaultRowHeight="18.75" customHeight="1" x14ac:dyDescent="0.25"/>
  <cols>
    <col min="1" max="1" width="6.85546875" style="1" bestFit="1" customWidth="1"/>
    <col min="2" max="6" width="17" style="2" customWidth="1"/>
    <col min="7" max="7" width="17" style="1" customWidth="1"/>
    <col min="8" max="8" width="17" style="2" customWidth="1"/>
    <col min="9" max="11" width="17" style="1" customWidth="1"/>
    <col min="12" max="12" width="17" style="2" customWidth="1"/>
    <col min="13" max="13" width="17" style="12" customWidth="1"/>
    <col min="14" max="14" width="17" style="2" customWidth="1"/>
    <col min="15" max="16384" width="9.140625" style="2"/>
  </cols>
  <sheetData>
    <row r="1" spans="1:14" ht="18.75" customHeight="1" x14ac:dyDescent="0.25">
      <c r="B1" s="2" t="s">
        <v>2</v>
      </c>
      <c r="C1" s="2">
        <f>Input!$N$2</f>
        <v>60000000</v>
      </c>
      <c r="D1" s="2">
        <f>E9+E21+E27+E34+E44</f>
        <v>47014975</v>
      </c>
      <c r="E1" s="2">
        <f>C1-D1</f>
        <v>12985025</v>
      </c>
      <c r="I1" s="46" t="s">
        <v>43</v>
      </c>
      <c r="J1" s="1">
        <v>46327285</v>
      </c>
      <c r="L1" s="2">
        <f>J1-C1</f>
        <v>-13672715</v>
      </c>
      <c r="M1" s="31">
        <f>IF(C1 &gt; 0, L1/C1*100, 0)</f>
        <v>-22.787858333333332</v>
      </c>
    </row>
    <row r="2" spans="1:14" s="4" customFormat="1" ht="18.75" customHeight="1" x14ac:dyDescent="0.25">
      <c r="A2" s="3" t="s">
        <v>11</v>
      </c>
      <c r="B2" s="4" t="s">
        <v>1</v>
      </c>
      <c r="E2" s="4">
        <v>20</v>
      </c>
      <c r="F2" s="4">
        <f>$E2*$C$1/100</f>
        <v>12000000</v>
      </c>
      <c r="G2" s="4">
        <f>$E$9-$F2</f>
        <v>-793305</v>
      </c>
      <c r="I2" s="3"/>
      <c r="L2" s="3"/>
      <c r="M2" s="13"/>
      <c r="N2" s="3"/>
    </row>
    <row r="3" spans="1:14" s="7" customFormat="1" ht="18.75" customHeight="1" x14ac:dyDescent="0.25">
      <c r="C3" s="8" t="s">
        <v>39</v>
      </c>
      <c r="D3" s="8" t="s">
        <v>40</v>
      </c>
      <c r="E3" s="8" t="s">
        <v>32</v>
      </c>
      <c r="F3" s="8" t="s">
        <v>33</v>
      </c>
      <c r="G3" s="8" t="s">
        <v>34</v>
      </c>
      <c r="H3" s="8" t="s">
        <v>31</v>
      </c>
      <c r="I3" s="8" t="s">
        <v>35</v>
      </c>
      <c r="J3" s="8" t="s">
        <v>36</v>
      </c>
      <c r="K3" s="8" t="s">
        <v>42</v>
      </c>
      <c r="L3" s="8" t="s">
        <v>37</v>
      </c>
      <c r="M3" s="14" t="s">
        <v>41</v>
      </c>
      <c r="N3" s="8" t="s">
        <v>38</v>
      </c>
    </row>
    <row r="4" spans="1:14" s="18" customFormat="1" ht="18.75" customHeight="1" x14ac:dyDescent="0.25">
      <c r="A4" s="17">
        <v>4</v>
      </c>
      <c r="B4" s="18" t="s">
        <v>9</v>
      </c>
      <c r="C4" s="18">
        <v>15</v>
      </c>
      <c r="D4" s="18">
        <f>C4*$C$1/100</f>
        <v>9000000</v>
      </c>
      <c r="E4" s="23">
        <f>VLOOKUP(B4,Input!$I$2:$J$24,2,FALSE)</f>
        <v>745745</v>
      </c>
      <c r="F4" s="18">
        <f>VLOOKUP(B4,Input!$I$2:$K$24,3,FALSE)</f>
        <v>7457</v>
      </c>
      <c r="G4" s="18">
        <f>F4*0.95</f>
        <v>7084.15</v>
      </c>
      <c r="H4" s="19">
        <f>VLOOKUP(B4,Input!$B$2:$D$24,2,FALSE)</f>
        <v>8695</v>
      </c>
      <c r="I4" s="17">
        <f>VLOOKUP(B4,Input!$B$2:$D$24,3,FALSE)</f>
        <v>10000</v>
      </c>
      <c r="J4" s="32">
        <f>VLOOKUP(B4,Input!$F$2:$G$24,2,FALSE)</f>
        <v>8775</v>
      </c>
      <c r="K4" s="37">
        <f>(H4-J4)/H4*100</f>
        <v>-0.92006900517538814</v>
      </c>
      <c r="L4" s="20">
        <f>J4-F4</f>
        <v>1318</v>
      </c>
      <c r="M4" s="20">
        <f>IF(F4 &gt; 0, L4/F4*100, 0)</f>
        <v>17.674668097089981</v>
      </c>
      <c r="N4" s="21" t="b">
        <f>IF(J4 &lt; G4, TRUE, FALSE)</f>
        <v>0</v>
      </c>
    </row>
    <row r="5" spans="1:14" ht="18.75" customHeight="1" x14ac:dyDescent="0.25">
      <c r="A5" s="1">
        <v>2</v>
      </c>
      <c r="B5" s="2" t="s">
        <v>7</v>
      </c>
      <c r="C5" s="2">
        <v>10</v>
      </c>
      <c r="D5" s="2">
        <f>C5*$C$1/100</f>
        <v>6000000</v>
      </c>
      <c r="E5" s="23">
        <f>VLOOKUP(B5,Input!$I$2:$J$24,2,FALSE)</f>
        <v>0</v>
      </c>
      <c r="F5" s="2">
        <f>VLOOKUP(B5,Input!$I$2:$K$24,3,FALSE)</f>
        <v>0</v>
      </c>
      <c r="G5" s="2">
        <f>F5*0.95</f>
        <v>0</v>
      </c>
      <c r="H5" s="11">
        <f>VLOOKUP(B5,Input!$B$2:$D$24,2,FALSE)</f>
        <v>9666</v>
      </c>
      <c r="I5" s="1">
        <f>VLOOKUP(B5,Input!$B$2:$D$24,3,FALSE)</f>
        <v>11600</v>
      </c>
      <c r="J5" s="32">
        <f>VLOOKUP(B5,Input!$F$2:$G$24,2,FALSE)</f>
        <v>9375</v>
      </c>
      <c r="K5" s="38">
        <f>(H5-J5)/H5*100</f>
        <v>3.0105524518932341</v>
      </c>
      <c r="L5" s="31">
        <f>J5-F5</f>
        <v>9375</v>
      </c>
      <c r="M5" s="31">
        <f>IF(F5 &gt; 0, L5/F5*100, 0)</f>
        <v>0</v>
      </c>
      <c r="N5" s="1"/>
    </row>
    <row r="6" spans="1:14" s="23" customFormat="1" ht="18.75" customHeight="1" x14ac:dyDescent="0.25">
      <c r="A6" s="17">
        <v>1</v>
      </c>
      <c r="B6" s="18" t="s">
        <v>6</v>
      </c>
      <c r="C6" s="18">
        <v>15</v>
      </c>
      <c r="D6" s="18">
        <f>C6*$C$1/100</f>
        <v>9000000</v>
      </c>
      <c r="E6" s="23">
        <f>VLOOKUP(B6,Input!$I$2:$J$24,2,FALSE)</f>
        <v>6995488</v>
      </c>
      <c r="F6" s="18">
        <f>VLOOKUP(B6,Input!$I$2:$K$24,3,FALSE)</f>
        <v>4568</v>
      </c>
      <c r="G6" s="18">
        <f>F6*0.95</f>
        <v>4339.5999999999995</v>
      </c>
      <c r="H6" s="19">
        <f>VLOOKUP(B6,Input!$B$2:$D$24,2,FALSE)</f>
        <v>5391</v>
      </c>
      <c r="I6" s="17">
        <f>VLOOKUP(B6,Input!$B$2:$D$24,3,FALSE)</f>
        <v>6200</v>
      </c>
      <c r="J6" s="32">
        <f>VLOOKUP(B6,Input!$F$2:$G$24,2,FALSE)</f>
        <v>4860</v>
      </c>
      <c r="K6" s="37">
        <f>(H6-J6)/H6*100</f>
        <v>9.8497495826377293</v>
      </c>
      <c r="L6" s="20">
        <f>J6-F6</f>
        <v>292</v>
      </c>
      <c r="M6" s="20">
        <f>IF(F6 &gt; 0, L6/F6*100, 0)</f>
        <v>6.3922942206654998</v>
      </c>
      <c r="N6" s="21" t="b">
        <f>IF(J6 &lt; G6, TRUE, FALSE)</f>
        <v>0</v>
      </c>
    </row>
    <row r="7" spans="1:14" s="18" customFormat="1" ht="18.75" customHeight="1" x14ac:dyDescent="0.25">
      <c r="A7" s="21">
        <v>3</v>
      </c>
      <c r="B7" s="23" t="s">
        <v>8</v>
      </c>
      <c r="C7" s="23">
        <v>10</v>
      </c>
      <c r="D7" s="23">
        <f>C7*$C$1/100</f>
        <v>6000000</v>
      </c>
      <c r="E7" s="23">
        <f>VLOOKUP(B7,Input!$I$2:$J$24,2,FALSE)</f>
        <v>0</v>
      </c>
      <c r="F7" s="23">
        <f>VLOOKUP(B7,Input!$I$2:$K$24,3,FALSE)</f>
        <v>0</v>
      </c>
      <c r="G7" s="23">
        <f>F7*0.95</f>
        <v>0</v>
      </c>
      <c r="H7" s="19">
        <f>VLOOKUP(B7,Input!$B$2:$D$24,2,FALSE)</f>
        <v>5217</v>
      </c>
      <c r="I7" s="21">
        <f>VLOOKUP(B7,Input!$B$2:$D$24,3,FALSE)</f>
        <v>6000</v>
      </c>
      <c r="J7" s="32">
        <f>VLOOKUP(B7,Input!$F$2:$G$24,2,FALSE)</f>
        <v>5225</v>
      </c>
      <c r="K7" s="43">
        <f>(H7-J7)/H7*100</f>
        <v>-0.15334483419589803</v>
      </c>
      <c r="L7" s="20">
        <f>J7-F7</f>
        <v>5225</v>
      </c>
      <c r="M7" s="20">
        <f>IF(F7 &gt; 0, L7/F7*100, 0)</f>
        <v>0</v>
      </c>
      <c r="N7" s="21"/>
    </row>
    <row r="8" spans="1:14" ht="18.75" customHeight="1" x14ac:dyDescent="0.25">
      <c r="A8" s="1">
        <v>5</v>
      </c>
      <c r="B8" s="2" t="s">
        <v>10</v>
      </c>
      <c r="C8" s="2">
        <v>10</v>
      </c>
      <c r="D8" s="2">
        <f>C8*$C$1/100</f>
        <v>6000000</v>
      </c>
      <c r="E8" s="6">
        <f>VLOOKUP(B8,Input!$I$2:$J$24,2,FALSE)</f>
        <v>3465462</v>
      </c>
      <c r="F8" s="2">
        <f>VLOOKUP(B8,Input!$I$2:$K$24,3,FALSE)</f>
        <v>3150</v>
      </c>
      <c r="G8" s="2">
        <f>F8*0.95</f>
        <v>2992.5</v>
      </c>
      <c r="H8" s="11">
        <f>VLOOKUP(B8,Input!$B$2:$D$24,2,FALSE)</f>
        <v>3200</v>
      </c>
      <c r="I8" s="1">
        <f>VLOOKUP(B8,Input!$B$2:$D$24,3,FALSE)</f>
        <v>3850</v>
      </c>
      <c r="J8" s="32">
        <f>VLOOKUP(B8,Input!$F$2:$G$24,2,FALSE)</f>
        <v>2150</v>
      </c>
      <c r="K8" s="39">
        <f>(H8-J8)/H8*100</f>
        <v>32.8125</v>
      </c>
      <c r="L8" s="31">
        <f>J8-F8</f>
        <v>-1000</v>
      </c>
      <c r="M8" s="31">
        <f>IF(F8 &gt; 0, L8/F8*100, 0)</f>
        <v>-31.746031746031743</v>
      </c>
      <c r="N8" s="5" t="b">
        <f>IF(J8 &lt; G8, TRUE, FALSE)</f>
        <v>1</v>
      </c>
    </row>
    <row r="9" spans="1:14" s="10" customFormat="1" ht="18.75" customHeight="1" x14ac:dyDescent="0.25">
      <c r="A9" s="9"/>
      <c r="E9" s="10">
        <f>SUM(E4:E8)</f>
        <v>11206695</v>
      </c>
      <c r="I9" s="9"/>
      <c r="L9" s="9"/>
      <c r="M9" s="15"/>
      <c r="N9" s="9"/>
    </row>
    <row r="10" spans="1:14" customFormat="1" ht="18.75" customHeight="1" x14ac:dyDescent="0.25">
      <c r="K10" s="22"/>
      <c r="M10" s="16"/>
    </row>
    <row r="11" spans="1:14" s="4" customFormat="1" ht="18.75" customHeight="1" x14ac:dyDescent="0.25">
      <c r="A11" s="3" t="s">
        <v>11</v>
      </c>
      <c r="B11" s="4" t="s">
        <v>0</v>
      </c>
      <c r="E11" s="4">
        <v>30</v>
      </c>
      <c r="F11" s="4">
        <f>$E11*$C$1/100</f>
        <v>18000000</v>
      </c>
      <c r="G11" s="4">
        <f>$E$21-$F11</f>
        <v>-5394498</v>
      </c>
      <c r="I11" s="3"/>
      <c r="L11" s="3"/>
      <c r="M11" s="13"/>
      <c r="N11" s="3"/>
    </row>
    <row r="12" spans="1:14" s="7" customFormat="1" ht="18.75" customHeight="1" x14ac:dyDescent="0.25">
      <c r="C12" s="8" t="s">
        <v>39</v>
      </c>
      <c r="D12" s="8" t="s">
        <v>40</v>
      </c>
      <c r="E12" s="8" t="s">
        <v>32</v>
      </c>
      <c r="F12" s="8" t="s">
        <v>33</v>
      </c>
      <c r="G12" s="8" t="s">
        <v>34</v>
      </c>
      <c r="H12" s="8" t="s">
        <v>31</v>
      </c>
      <c r="I12" s="8" t="s">
        <v>35</v>
      </c>
      <c r="J12" s="8" t="s">
        <v>36</v>
      </c>
      <c r="K12" s="8" t="s">
        <v>42</v>
      </c>
      <c r="L12" s="8" t="s">
        <v>37</v>
      </c>
      <c r="M12" s="14" t="s">
        <v>41</v>
      </c>
      <c r="N12" s="8" t="s">
        <v>38</v>
      </c>
    </row>
    <row r="13" spans="1:14" s="26" customFormat="1" ht="18.75" customHeight="1" x14ac:dyDescent="0.25">
      <c r="A13" s="28">
        <v>10</v>
      </c>
      <c r="B13" s="29" t="s">
        <v>16</v>
      </c>
      <c r="C13" s="29">
        <v>10</v>
      </c>
      <c r="D13" s="29">
        <f t="shared" ref="D13:D20" si="0">C13*$C$1/100</f>
        <v>6000000</v>
      </c>
      <c r="E13" s="6">
        <f>VLOOKUP(B13,Input!$I$2:$J$24,2,FALSE)</f>
        <v>1948446</v>
      </c>
      <c r="F13" s="29">
        <f>VLOOKUP(B13,Input!$I$2:$K$24,3,FALSE)</f>
        <v>1026</v>
      </c>
      <c r="G13" s="29">
        <f t="shared" ref="G13:G20" si="1">F13*0.95</f>
        <v>974.69999999999993</v>
      </c>
      <c r="H13" s="30">
        <f>VLOOKUP(B13,Input!$B$2:$D$24,2,FALSE)</f>
        <v>583</v>
      </c>
      <c r="I13" s="28">
        <f>VLOOKUP(B13,Input!$B$2:$D$24,3,FALSE)</f>
        <v>700</v>
      </c>
      <c r="J13" s="32">
        <f>VLOOKUP(B13,Input!$F$2:$G$24,2,FALSE)</f>
        <v>476</v>
      </c>
      <c r="K13" s="41">
        <f t="shared" ref="K13:K20" si="2">(H13-J13)/H13*100</f>
        <v>18.353344768439108</v>
      </c>
      <c r="L13" s="20">
        <f t="shared" ref="L13:L20" si="3">J13-F13</f>
        <v>-550</v>
      </c>
      <c r="M13" s="20">
        <f t="shared" ref="M13:M20" si="4">IF(F13 &gt; 0, L13/F13*100, 0)</f>
        <v>-53.606237816764136</v>
      </c>
      <c r="N13" s="5" t="b">
        <f>IF(J13 &lt; G13, TRUE, FALSE)</f>
        <v>1</v>
      </c>
    </row>
    <row r="14" spans="1:14" s="18" customFormat="1" ht="18.75" customHeight="1" x14ac:dyDescent="0.25">
      <c r="A14" s="17">
        <v>7</v>
      </c>
      <c r="B14" s="18" t="s">
        <v>13</v>
      </c>
      <c r="C14" s="18">
        <v>15</v>
      </c>
      <c r="D14" s="18">
        <f t="shared" si="0"/>
        <v>9000000</v>
      </c>
      <c r="E14" s="23">
        <f>VLOOKUP(B14,Input!$I$2:$J$24,2,FALSE)</f>
        <v>5077572</v>
      </c>
      <c r="F14" s="18">
        <f>VLOOKUP(B14,Input!$I$2:$K$24,3,FALSE)</f>
        <v>6346</v>
      </c>
      <c r="G14" s="18">
        <f t="shared" si="1"/>
        <v>6028.7</v>
      </c>
      <c r="H14" s="19">
        <f>VLOOKUP(B14,Input!$B$2:$D$24,2,FALSE)</f>
        <v>7130</v>
      </c>
      <c r="I14" s="17">
        <f>VLOOKUP(B14,Input!$B$2:$D$24,3,FALSE)</f>
        <v>8200</v>
      </c>
      <c r="J14" s="32">
        <f>VLOOKUP(B14,Input!$F$2:$G$24,2,FALSE)</f>
        <v>6025</v>
      </c>
      <c r="K14" s="37">
        <f t="shared" si="2"/>
        <v>15.497896213183731</v>
      </c>
      <c r="L14" s="20">
        <f t="shared" si="3"/>
        <v>-321</v>
      </c>
      <c r="M14" s="20">
        <f t="shared" si="4"/>
        <v>-5.0583044437440909</v>
      </c>
      <c r="N14" s="17"/>
    </row>
    <row r="15" spans="1:14" s="23" customFormat="1" ht="18.75" customHeight="1" x14ac:dyDescent="0.25">
      <c r="A15" s="21">
        <v>8</v>
      </c>
      <c r="B15" s="44" t="s">
        <v>14</v>
      </c>
      <c r="C15" s="23">
        <v>15</v>
      </c>
      <c r="D15" s="23">
        <f t="shared" si="0"/>
        <v>9000000</v>
      </c>
      <c r="E15" s="23">
        <f>VLOOKUP(B15,Input!$I$2:$J$24,2,FALSE)</f>
        <v>3641137</v>
      </c>
      <c r="F15" s="23">
        <f>VLOOKUP(B15,Input!$I$2:$K$24,3,FALSE)</f>
        <v>9102</v>
      </c>
      <c r="G15" s="23">
        <f t="shared" si="1"/>
        <v>8646.9</v>
      </c>
      <c r="H15" s="19">
        <f>VLOOKUP(B15,Input!$B$2:$D$24,2,FALSE)</f>
        <v>10434</v>
      </c>
      <c r="I15" s="21">
        <f>VLOOKUP(B15,Input!$B$2:$D$24,3,FALSE)</f>
        <v>12000</v>
      </c>
      <c r="J15" s="32">
        <f>VLOOKUP(B15,Input!$F$2:$G$24,2,FALSE)</f>
        <v>10100</v>
      </c>
      <c r="K15" s="37">
        <f t="shared" si="2"/>
        <v>3.2010734138393713</v>
      </c>
      <c r="L15" s="20">
        <f t="shared" si="3"/>
        <v>998</v>
      </c>
      <c r="M15" s="20">
        <f t="shared" si="4"/>
        <v>10.964623159745111</v>
      </c>
      <c r="N15" s="21"/>
    </row>
    <row r="16" spans="1:14" ht="18.75" customHeight="1" x14ac:dyDescent="0.25">
      <c r="A16" s="1">
        <v>9</v>
      </c>
      <c r="B16" s="2" t="s">
        <v>15</v>
      </c>
      <c r="C16" s="2">
        <v>10</v>
      </c>
      <c r="D16" s="2">
        <f t="shared" si="0"/>
        <v>6000000</v>
      </c>
      <c r="E16" s="2">
        <f>VLOOKUP(B16,Input!$I$2:$J$24,2,FALSE)</f>
        <v>0</v>
      </c>
      <c r="F16" s="2">
        <f>VLOOKUP(B16,Input!$I$2:$K$24,3,FALSE)</f>
        <v>0</v>
      </c>
      <c r="G16" s="2">
        <f t="shared" si="1"/>
        <v>0</v>
      </c>
      <c r="H16" s="11">
        <f>VLOOKUP(B16,Input!$B$2:$D$24,2,FALSE)</f>
        <v>1916</v>
      </c>
      <c r="I16" s="1">
        <f>VLOOKUP(B16,Input!$B$2:$D$24,3,FALSE)</f>
        <v>2300</v>
      </c>
      <c r="J16" s="32">
        <f>VLOOKUP(B16,Input!$F$2:$G$24,2,FALSE)</f>
        <v>2130</v>
      </c>
      <c r="K16" s="41">
        <f t="shared" si="2"/>
        <v>-11.169102296450939</v>
      </c>
      <c r="L16" s="20">
        <f t="shared" si="3"/>
        <v>2130</v>
      </c>
      <c r="M16" s="20">
        <f t="shared" si="4"/>
        <v>0</v>
      </c>
      <c r="N16" s="1"/>
    </row>
    <row r="17" spans="1:14" s="29" customFormat="1" ht="18.75" customHeight="1" x14ac:dyDescent="0.25">
      <c r="A17" s="17">
        <v>11</v>
      </c>
      <c r="B17" s="18" t="s">
        <v>17</v>
      </c>
      <c r="C17" s="18">
        <v>10</v>
      </c>
      <c r="D17" s="18">
        <f t="shared" si="0"/>
        <v>6000000</v>
      </c>
      <c r="E17" s="23">
        <f>VLOOKUP(B17,Input!$I$2:$J$24,2,FALSE)</f>
        <v>1938347</v>
      </c>
      <c r="F17" s="18">
        <f>VLOOKUP(B17,Input!$I$2:$K$24,3,FALSE)</f>
        <v>1211</v>
      </c>
      <c r="G17" s="18">
        <f t="shared" si="1"/>
        <v>1150.45</v>
      </c>
      <c r="H17" s="19">
        <f>VLOOKUP(B17,Input!$B$2:$D$24,2,FALSE)</f>
        <v>1666</v>
      </c>
      <c r="I17" s="17">
        <f>VLOOKUP(B17,Input!$B$2:$D$24,3,FALSE)</f>
        <v>2000</v>
      </c>
      <c r="J17" s="32">
        <f>VLOOKUP(B17,Input!$F$2:$G$24,2,FALSE)</f>
        <v>1445</v>
      </c>
      <c r="K17" s="37">
        <f t="shared" si="2"/>
        <v>13.26530612244898</v>
      </c>
      <c r="L17" s="20">
        <f t="shared" si="3"/>
        <v>234</v>
      </c>
      <c r="M17" s="20">
        <f t="shared" si="4"/>
        <v>19.322873658133773</v>
      </c>
      <c r="N17" s="21" t="b">
        <f>IF(J17 &lt; G17, TRUE, FALSE)</f>
        <v>0</v>
      </c>
    </row>
    <row r="18" spans="1:14" s="18" customFormat="1" ht="18.75" customHeight="1" x14ac:dyDescent="0.25">
      <c r="A18" s="1">
        <v>12</v>
      </c>
      <c r="B18" s="24" t="s">
        <v>18</v>
      </c>
      <c r="C18" s="2">
        <v>10</v>
      </c>
      <c r="D18" s="2">
        <f t="shared" si="0"/>
        <v>6000000</v>
      </c>
      <c r="E18" s="2">
        <f>VLOOKUP(B18,Input!$I$2:$J$24,2,FALSE)</f>
        <v>0</v>
      </c>
      <c r="F18" s="2">
        <f>VLOOKUP(B18,Input!$I$2:$K$24,3,FALSE)</f>
        <v>0</v>
      </c>
      <c r="G18" s="2">
        <f t="shared" si="1"/>
        <v>0</v>
      </c>
      <c r="H18" s="11">
        <f>VLOOKUP(B18,Input!$B$2:$D$24,2,FALSE)</f>
        <v>2500</v>
      </c>
      <c r="I18" s="1">
        <f>VLOOKUP(B18,Input!$B$2:$D$24,3,FALSE)</f>
        <v>3000</v>
      </c>
      <c r="J18" s="32">
        <f>VLOOKUP(B18,Input!$F$2:$G$24,2,FALSE)</f>
        <v>2630</v>
      </c>
      <c r="K18" s="41">
        <f t="shared" si="2"/>
        <v>-5.2</v>
      </c>
      <c r="L18" s="31">
        <f t="shared" si="3"/>
        <v>2630</v>
      </c>
      <c r="M18" s="31">
        <f t="shared" si="4"/>
        <v>0</v>
      </c>
      <c r="N18" s="1"/>
    </row>
    <row r="19" spans="1:14" ht="18.75" customHeight="1" x14ac:dyDescent="0.25">
      <c r="A19" s="28">
        <v>13</v>
      </c>
      <c r="B19" s="29" t="s">
        <v>19</v>
      </c>
      <c r="C19" s="29">
        <v>10</v>
      </c>
      <c r="D19" s="29">
        <f t="shared" si="0"/>
        <v>6000000</v>
      </c>
      <c r="E19" s="6">
        <f>VLOOKUP(B19,Input!$I$2:$J$24,2,FALSE)</f>
        <v>0</v>
      </c>
      <c r="F19" s="29">
        <f>VLOOKUP(B19,Input!$I$2:$K$24,3,FALSE)</f>
        <v>0</v>
      </c>
      <c r="G19" s="29">
        <v>0</v>
      </c>
      <c r="H19" s="30">
        <f>VLOOKUP(B19,Input!$B$2:$D$24,2,FALSE)</f>
        <v>870</v>
      </c>
      <c r="I19" s="28">
        <f>VLOOKUP(B19,Input!$B$2:$D$24,3,FALSE)</f>
        <v>1000</v>
      </c>
      <c r="J19" s="32">
        <f>VLOOKUP(B19,Input!$F$2:$G$24,2,FALSE)</f>
        <v>845</v>
      </c>
      <c r="K19" s="41">
        <f t="shared" si="2"/>
        <v>2.8735632183908044</v>
      </c>
      <c r="L19" s="31">
        <f t="shared" si="3"/>
        <v>845</v>
      </c>
      <c r="M19" s="31">
        <f t="shared" si="4"/>
        <v>0</v>
      </c>
      <c r="N19" s="5" t="b">
        <f>IF(J19 &lt; G19, TRUE, FALSE)</f>
        <v>0</v>
      </c>
    </row>
    <row r="20" spans="1:14" s="18" customFormat="1" ht="18.75" hidden="1" customHeight="1" x14ac:dyDescent="0.25">
      <c r="A20" s="25">
        <v>6</v>
      </c>
      <c r="B20" s="26" t="s">
        <v>12</v>
      </c>
      <c r="C20" s="26">
        <v>15</v>
      </c>
      <c r="D20" s="26">
        <f t="shared" si="0"/>
        <v>9000000</v>
      </c>
      <c r="E20" s="26"/>
      <c r="F20" s="26"/>
      <c r="G20" s="26">
        <f t="shared" si="1"/>
        <v>0</v>
      </c>
      <c r="H20" s="27">
        <v>5652</v>
      </c>
      <c r="I20" s="25">
        <v>6500</v>
      </c>
      <c r="J20" s="34"/>
      <c r="K20" s="40">
        <f t="shared" si="2"/>
        <v>100</v>
      </c>
      <c r="L20" s="45">
        <f t="shared" si="3"/>
        <v>0</v>
      </c>
      <c r="M20" s="45">
        <f t="shared" si="4"/>
        <v>0</v>
      </c>
      <c r="N20" s="25"/>
    </row>
    <row r="21" spans="1:14" s="10" customFormat="1" ht="18.75" customHeight="1" x14ac:dyDescent="0.25">
      <c r="A21" s="9"/>
      <c r="E21" s="10">
        <f>SUM(E13:E20)</f>
        <v>12605502</v>
      </c>
      <c r="I21" s="9"/>
      <c r="L21" s="9"/>
      <c r="M21" s="15"/>
      <c r="N21" s="9"/>
    </row>
    <row r="22" spans="1:14" customFormat="1" ht="18.75" customHeight="1" x14ac:dyDescent="0.25">
      <c r="K22" s="22"/>
      <c r="M22" s="16"/>
    </row>
    <row r="23" spans="1:14" s="4" customFormat="1" ht="18.75" customHeight="1" x14ac:dyDescent="0.25">
      <c r="A23" s="3" t="s">
        <v>11</v>
      </c>
      <c r="B23" s="4" t="s">
        <v>3</v>
      </c>
      <c r="E23" s="4">
        <v>10</v>
      </c>
      <c r="F23" s="4">
        <f>$E23*$C$1/100</f>
        <v>6000000</v>
      </c>
      <c r="G23" s="4">
        <f>$E$27-$F23</f>
        <v>-4093095</v>
      </c>
      <c r="I23" s="3"/>
      <c r="L23" s="3"/>
      <c r="M23" s="13"/>
      <c r="N23" s="3"/>
    </row>
    <row r="24" spans="1:14" s="7" customFormat="1" ht="18.75" customHeight="1" x14ac:dyDescent="0.25">
      <c r="C24" s="8" t="s">
        <v>39</v>
      </c>
      <c r="D24" s="8" t="s">
        <v>40</v>
      </c>
      <c r="E24" s="8" t="s">
        <v>32</v>
      </c>
      <c r="F24" s="8" t="s">
        <v>33</v>
      </c>
      <c r="G24" s="8" t="s">
        <v>34</v>
      </c>
      <c r="H24" s="8" t="s">
        <v>31</v>
      </c>
      <c r="I24" s="8" t="s">
        <v>35</v>
      </c>
      <c r="J24" s="8" t="s">
        <v>36</v>
      </c>
      <c r="K24" s="8" t="s">
        <v>42</v>
      </c>
      <c r="L24" s="8" t="s">
        <v>37</v>
      </c>
      <c r="M24" s="14" t="s">
        <v>41</v>
      </c>
      <c r="N24" s="8" t="s">
        <v>38</v>
      </c>
    </row>
    <row r="25" spans="1:14" ht="18.75" customHeight="1" x14ac:dyDescent="0.25">
      <c r="A25" s="5">
        <v>15</v>
      </c>
      <c r="B25" s="6" t="s">
        <v>21</v>
      </c>
      <c r="C25" s="6">
        <v>10</v>
      </c>
      <c r="D25" s="6">
        <f>C25*$C$1/100</f>
        <v>6000000</v>
      </c>
      <c r="E25" s="2">
        <f>VLOOKUP(B25,Input!$I$2:$J$24,2,FALSE)</f>
        <v>1906905</v>
      </c>
      <c r="F25" s="6">
        <f>VLOOKUP(B25,Input!$I$2:$K$24,3,FALSE)</f>
        <v>3813</v>
      </c>
      <c r="G25" s="2">
        <f>F25*0.95</f>
        <v>3622.35</v>
      </c>
      <c r="H25" s="11">
        <f>VLOOKUP(B25,Input!$B$2:$D$24,2,FALSE)</f>
        <v>4250</v>
      </c>
      <c r="I25" s="5">
        <f>VLOOKUP(B25,Input!$B$2:$D$24,3,FALSE)</f>
        <v>5100</v>
      </c>
      <c r="J25" s="32">
        <f>VLOOKUP(B25,Input!$F$2:$G$24,2,FALSE)</f>
        <v>3300</v>
      </c>
      <c r="K25" s="41">
        <f>(H25-J25)/H25*100</f>
        <v>22.352941176470591</v>
      </c>
      <c r="L25" s="31">
        <f>J25-F25</f>
        <v>-513</v>
      </c>
      <c r="M25" s="31">
        <f>IF(F25 &gt; 0, L25/F25*100, 0)</f>
        <v>-13.453973249409914</v>
      </c>
      <c r="N25" s="5" t="b">
        <f>IF(J25 &lt; G25, TRUE, FALSE)</f>
        <v>1</v>
      </c>
    </row>
    <row r="26" spans="1:14" s="6" customFormat="1" ht="18.75" customHeight="1" x14ac:dyDescent="0.25">
      <c r="A26" s="1">
        <v>14</v>
      </c>
      <c r="B26" s="24" t="s">
        <v>20</v>
      </c>
      <c r="C26" s="2">
        <v>10</v>
      </c>
      <c r="D26" s="2">
        <f>C26*$C$1/100</f>
        <v>6000000</v>
      </c>
      <c r="E26" s="2">
        <f>VLOOKUP(B26,Input!$I$2:$J$24,2,FALSE)</f>
        <v>0</v>
      </c>
      <c r="F26" s="2">
        <f>VLOOKUP(B26,Input!$I$2:$K$24,3,FALSE)</f>
        <v>0</v>
      </c>
      <c r="G26" s="2">
        <f>F26*0.95</f>
        <v>0</v>
      </c>
      <c r="H26" s="11">
        <f>VLOOKUP(B26,Input!$B$2:$D$24,2,FALSE)</f>
        <v>9000</v>
      </c>
      <c r="I26" s="1">
        <f>VLOOKUP(B26,Input!$B$2:$D$24,3,FALSE)</f>
        <v>10800</v>
      </c>
      <c r="J26" s="32">
        <f>VLOOKUP(B26,Input!$F$2:$G$24,2,FALSE)</f>
        <v>6325</v>
      </c>
      <c r="K26" s="41">
        <f>(H26-J26)/H26*100</f>
        <v>29.722222222222221</v>
      </c>
      <c r="L26" s="31">
        <f>J26-F26</f>
        <v>6325</v>
      </c>
      <c r="M26" s="31">
        <f>IF(F26 &gt; 0, L26/F26*100, 0)</f>
        <v>0</v>
      </c>
      <c r="N26" s="1"/>
    </row>
    <row r="27" spans="1:14" s="10" customFormat="1" ht="18.75" customHeight="1" x14ac:dyDescent="0.25">
      <c r="A27" s="9"/>
      <c r="E27" s="10">
        <f>SUM(E25:E26)</f>
        <v>1906905</v>
      </c>
      <c r="I27" s="9"/>
      <c r="L27" s="9"/>
      <c r="M27" s="15"/>
      <c r="N27" s="9"/>
    </row>
    <row r="28" spans="1:14" customFormat="1" ht="18.75" customHeight="1" x14ac:dyDescent="0.25">
      <c r="K28" s="22"/>
      <c r="M28" s="16"/>
    </row>
    <row r="29" spans="1:14" s="4" customFormat="1" ht="18.75" customHeight="1" x14ac:dyDescent="0.25">
      <c r="A29" s="3" t="s">
        <v>11</v>
      </c>
      <c r="B29" s="4" t="s">
        <v>4</v>
      </c>
      <c r="E29" s="4">
        <v>20</v>
      </c>
      <c r="F29" s="4">
        <f>$E29*$C$1/100</f>
        <v>12000000</v>
      </c>
      <c r="G29" s="4">
        <f>$E$34-$F29</f>
        <v>-2065977</v>
      </c>
      <c r="I29" s="3"/>
      <c r="L29" s="3"/>
      <c r="M29" s="13"/>
      <c r="N29" s="3"/>
    </row>
    <row r="30" spans="1:14" s="7" customFormat="1" ht="18.75" customHeight="1" x14ac:dyDescent="0.25">
      <c r="C30" s="8" t="s">
        <v>39</v>
      </c>
      <c r="D30" s="8" t="s">
        <v>40</v>
      </c>
      <c r="E30" s="8" t="s">
        <v>32</v>
      </c>
      <c r="F30" s="8" t="s">
        <v>33</v>
      </c>
      <c r="G30" s="8" t="s">
        <v>34</v>
      </c>
      <c r="H30" s="8" t="s">
        <v>31</v>
      </c>
      <c r="I30" s="8" t="s">
        <v>35</v>
      </c>
      <c r="J30" s="8" t="s">
        <v>36</v>
      </c>
      <c r="K30" s="8" t="s">
        <v>42</v>
      </c>
      <c r="L30" s="8" t="s">
        <v>37</v>
      </c>
      <c r="M30" s="14" t="s">
        <v>41</v>
      </c>
      <c r="N30" s="8" t="s">
        <v>38</v>
      </c>
    </row>
    <row r="31" spans="1:14" s="18" customFormat="1" ht="18.75" customHeight="1" x14ac:dyDescent="0.25">
      <c r="A31" s="1">
        <v>17</v>
      </c>
      <c r="B31" s="2" t="s">
        <v>23</v>
      </c>
      <c r="C31" s="2">
        <v>10</v>
      </c>
      <c r="D31" s="2">
        <f>C31*$C$1/100</f>
        <v>6000000</v>
      </c>
      <c r="E31" s="2">
        <f>VLOOKUP(B31,Input!$I$2:$J$24,2,FALSE)</f>
        <v>1957956</v>
      </c>
      <c r="F31" s="2">
        <f>VLOOKUP(B31,Input!$I$2:$K$24,3,FALSE)</f>
        <v>932</v>
      </c>
      <c r="G31" s="2">
        <f>F31*0.95</f>
        <v>885.4</v>
      </c>
      <c r="H31" s="11">
        <f>VLOOKUP(B31,Input!$B$2:$D$24,2,FALSE)</f>
        <v>1083</v>
      </c>
      <c r="I31" s="1">
        <f>VLOOKUP(B31,Input!$B$2:$D$24,3,FALSE)</f>
        <v>1300</v>
      </c>
      <c r="J31" s="32">
        <f>VLOOKUP(B31,Input!$F$2:$G$24,2,FALSE)</f>
        <v>990</v>
      </c>
      <c r="K31" s="41">
        <f>(H31-J31)/H31*100</f>
        <v>8.5872576177285325</v>
      </c>
      <c r="L31" s="31">
        <f>J31-F31</f>
        <v>58</v>
      </c>
      <c r="M31" s="31">
        <f>IF(F31 &gt; 0, L31/F31*100, 0)</f>
        <v>6.2231759656652361</v>
      </c>
      <c r="N31" s="5" t="b">
        <f>IF(J31 &lt; G31, TRUE, FALSE)</f>
        <v>0</v>
      </c>
    </row>
    <row r="32" spans="1:14" ht="18.75" customHeight="1" x14ac:dyDescent="0.25">
      <c r="A32" s="28">
        <v>18</v>
      </c>
      <c r="B32" s="29" t="s">
        <v>24</v>
      </c>
      <c r="C32" s="29">
        <v>10</v>
      </c>
      <c r="D32" s="29">
        <f>C32*$C$1/100</f>
        <v>6000000</v>
      </c>
      <c r="E32" s="6">
        <f>VLOOKUP(B32,Input!$I$2:$J$24,2,FALSE)</f>
        <v>2822320</v>
      </c>
      <c r="F32" s="29">
        <f>VLOOKUP(B32,Input!$I$2:$K$24,3,FALSE)</f>
        <v>1007</v>
      </c>
      <c r="G32" s="29">
        <f>F32*0.95</f>
        <v>956.65</v>
      </c>
      <c r="H32" s="30">
        <f>VLOOKUP(B32,Input!$B$2:$D$24,2,FALSE)</f>
        <v>1160</v>
      </c>
      <c r="I32" s="28">
        <f>VLOOKUP(B32,Input!$B$2:$D$24,3,FALSE)</f>
        <v>1400</v>
      </c>
      <c r="J32" s="32">
        <f>VLOOKUP(B32,Input!$F$2:$G$24,2,FALSE)</f>
        <v>1000</v>
      </c>
      <c r="K32" s="41">
        <f>(H32-J32)/H32*100</f>
        <v>13.793103448275861</v>
      </c>
      <c r="L32" s="31">
        <f>J32-F32</f>
        <v>-7</v>
      </c>
      <c r="M32" s="31">
        <f>IF(F32 &gt; 0, L32/F32*100, 0)</f>
        <v>-0.6951340615690168</v>
      </c>
      <c r="N32" s="5" t="b">
        <f>IF(J32 &lt; G32, TRUE, FALSE)</f>
        <v>0</v>
      </c>
    </row>
    <row r="33" spans="1:14" s="29" customFormat="1" ht="18.75" customHeight="1" x14ac:dyDescent="0.25">
      <c r="A33" s="17">
        <v>16</v>
      </c>
      <c r="B33" s="18" t="s">
        <v>22</v>
      </c>
      <c r="C33" s="18">
        <v>10</v>
      </c>
      <c r="D33" s="18">
        <f>C33*$C$1/100</f>
        <v>6000000</v>
      </c>
      <c r="E33" s="23">
        <f>VLOOKUP(B33,Input!$I$2:$J$24,2,FALSE)</f>
        <v>5153747</v>
      </c>
      <c r="F33" s="18">
        <f>VLOOKUP(B33,Input!$I$2:$K$24,3,FALSE)</f>
        <v>482</v>
      </c>
      <c r="G33" s="18">
        <f>F33*0.95</f>
        <v>457.9</v>
      </c>
      <c r="H33" s="19">
        <f>VLOOKUP(B33,Input!$B$2:$D$24,2,FALSE)</f>
        <v>538</v>
      </c>
      <c r="I33" s="17">
        <f>VLOOKUP(B33,Input!$B$2:$D$24,3,FALSE)</f>
        <v>680</v>
      </c>
      <c r="J33" s="32">
        <f>VLOOKUP(B33,Input!$F$2:$G$24,2,FALSE)</f>
        <v>466</v>
      </c>
      <c r="K33" s="37">
        <f>(H33-J33)/H33*100</f>
        <v>13.382899628252787</v>
      </c>
      <c r="L33" s="20">
        <f>J33-F33</f>
        <v>-16</v>
      </c>
      <c r="M33" s="20">
        <f>IF(F33 &gt; 0, L33/F33*100, 0)</f>
        <v>-3.3195020746887969</v>
      </c>
      <c r="N33" s="21" t="b">
        <f>IF(J33 &lt; G33, TRUE, FALSE)</f>
        <v>0</v>
      </c>
    </row>
    <row r="34" spans="1:14" s="10" customFormat="1" ht="18.75" customHeight="1" x14ac:dyDescent="0.25">
      <c r="A34" s="9"/>
      <c r="E34" s="10">
        <f>SUM(E31:E33)</f>
        <v>9934023</v>
      </c>
      <c r="I34" s="9"/>
      <c r="L34" s="9"/>
      <c r="M34" s="15"/>
      <c r="N34" s="9"/>
    </row>
    <row r="35" spans="1:14" customFormat="1" ht="18.75" customHeight="1" x14ac:dyDescent="0.25">
      <c r="K35" s="22"/>
      <c r="M35" s="16"/>
    </row>
    <row r="36" spans="1:14" s="4" customFormat="1" ht="18.75" customHeight="1" x14ac:dyDescent="0.25">
      <c r="A36" s="3" t="s">
        <v>11</v>
      </c>
      <c r="B36" s="4" t="s">
        <v>5</v>
      </c>
      <c r="E36" s="4">
        <f>100-E2-E11-E23-E29</f>
        <v>20</v>
      </c>
      <c r="F36" s="4">
        <f>$E36*$C$1/100</f>
        <v>12000000</v>
      </c>
      <c r="G36" s="4">
        <f>$E$44-$F36</f>
        <v>-638150</v>
      </c>
      <c r="I36" s="3"/>
      <c r="L36" s="3"/>
      <c r="M36" s="13"/>
      <c r="N36" s="3"/>
    </row>
    <row r="37" spans="1:14" s="7" customFormat="1" ht="18.75" customHeight="1" x14ac:dyDescent="0.25">
      <c r="C37" s="8" t="s">
        <v>39</v>
      </c>
      <c r="D37" s="8" t="s">
        <v>40</v>
      </c>
      <c r="E37" s="8" t="s">
        <v>32</v>
      </c>
      <c r="F37" s="8" t="s">
        <v>33</v>
      </c>
      <c r="G37" s="8" t="s">
        <v>34</v>
      </c>
      <c r="H37" s="8" t="s">
        <v>31</v>
      </c>
      <c r="I37" s="8" t="s">
        <v>35</v>
      </c>
      <c r="J37" s="8" t="s">
        <v>36</v>
      </c>
      <c r="K37" s="8" t="s">
        <v>42</v>
      </c>
      <c r="L37" s="8" t="s">
        <v>37</v>
      </c>
      <c r="M37" s="14" t="s">
        <v>41</v>
      </c>
      <c r="N37" s="8" t="s">
        <v>38</v>
      </c>
    </row>
    <row r="38" spans="1:14" ht="18.75" customHeight="1" x14ac:dyDescent="0.25">
      <c r="A38" s="28">
        <v>22</v>
      </c>
      <c r="B38" s="29" t="s">
        <v>28</v>
      </c>
      <c r="C38" s="29">
        <v>10</v>
      </c>
      <c r="D38" s="29">
        <f t="shared" ref="D38:D43" si="5">C38*$C$1/100</f>
        <v>6000000</v>
      </c>
      <c r="E38" s="6">
        <f>VLOOKUP(B38,Input!$I$2:$J$24,2,FALSE)</f>
        <v>7113106</v>
      </c>
      <c r="F38" s="29">
        <f>VLOOKUP(B38,Input!$I$2:$K$24,3,FALSE)</f>
        <v>1922</v>
      </c>
      <c r="G38" s="29">
        <f t="shared" ref="G38:G43" si="6">F38*0.95</f>
        <v>1825.8999999999999</v>
      </c>
      <c r="H38" s="30">
        <f>VLOOKUP(B38,Input!$B$2:$D$24,2,FALSE)</f>
        <v>1666</v>
      </c>
      <c r="I38" s="28">
        <f>VLOOKUP(B38,Input!$B$2:$D$24,3,FALSE)</f>
        <v>2000</v>
      </c>
      <c r="J38" s="32">
        <f>VLOOKUP(B38,Input!$F$2:$G$24,2,FALSE)</f>
        <v>775</v>
      </c>
      <c r="K38" s="41">
        <f t="shared" ref="K38:K43" si="7">(H38-J38)/H38*100</f>
        <v>53.481392557022808</v>
      </c>
      <c r="L38" s="31">
        <f t="shared" ref="L38:L43" si="8">J38-F38</f>
        <v>-1147</v>
      </c>
      <c r="M38" s="31">
        <f t="shared" ref="M38:M43" si="9">IF(F38 &gt; 0, L38/F38*100, 0)</f>
        <v>-59.677419354838712</v>
      </c>
      <c r="N38" s="5" t="b">
        <f>IF(J38 &lt; G38, TRUE, FALSE)</f>
        <v>1</v>
      </c>
    </row>
    <row r="39" spans="1:14" ht="18.75" customHeight="1" x14ac:dyDescent="0.25">
      <c r="A39" s="1">
        <v>19</v>
      </c>
      <c r="B39" s="2" t="s">
        <v>25</v>
      </c>
      <c r="C39" s="2">
        <v>10</v>
      </c>
      <c r="D39" s="2">
        <f t="shared" si="5"/>
        <v>6000000</v>
      </c>
      <c r="E39" s="2">
        <f>VLOOKUP(B39,Input!$I$2:$J$24,2,FALSE)</f>
        <v>0</v>
      </c>
      <c r="F39" s="2">
        <f>VLOOKUP(B39,Input!$I$2:$K$24,3,FALSE)</f>
        <v>0</v>
      </c>
      <c r="G39" s="2">
        <f t="shared" si="6"/>
        <v>0</v>
      </c>
      <c r="H39" s="11">
        <f>VLOOKUP(B39,Input!$B$2:$D$24,2,FALSE)</f>
        <v>2956</v>
      </c>
      <c r="I39" s="1">
        <f>VLOOKUP(B39,Input!$B$2:$D$24,3,FALSE)</f>
        <v>3400</v>
      </c>
      <c r="J39" s="32">
        <f>VLOOKUP(B39,Input!$F$2:$G$24,2,FALSE)</f>
        <v>2880</v>
      </c>
      <c r="K39" s="41">
        <f t="shared" si="7"/>
        <v>2.5710419485791611</v>
      </c>
      <c r="L39" s="31">
        <f t="shared" si="8"/>
        <v>2880</v>
      </c>
      <c r="M39" s="31">
        <f t="shared" si="9"/>
        <v>0</v>
      </c>
      <c r="N39" s="1"/>
    </row>
    <row r="40" spans="1:14" ht="18.75" customHeight="1" x14ac:dyDescent="0.25">
      <c r="A40" s="1">
        <v>24</v>
      </c>
      <c r="B40" s="2" t="s">
        <v>30</v>
      </c>
      <c r="C40" s="2">
        <v>5</v>
      </c>
      <c r="D40" s="2">
        <f t="shared" si="5"/>
        <v>3000000</v>
      </c>
      <c r="E40" s="2">
        <f>VLOOKUP(B40,Input!$I$2:$J$24,2,FALSE)</f>
        <v>0</v>
      </c>
      <c r="F40" s="2">
        <f>VLOOKUP(B40,Input!$I$2:$K$24,3,FALSE)</f>
        <v>0</v>
      </c>
      <c r="G40" s="2">
        <f t="shared" si="6"/>
        <v>0</v>
      </c>
      <c r="H40" s="19">
        <f>VLOOKUP(B40,Input!$B$2:$D$24,2,FALSE)</f>
        <v>6166</v>
      </c>
      <c r="I40" s="1">
        <f>VLOOKUP(B40,Input!$B$2:$D$24,3,FALSE)</f>
        <v>7400</v>
      </c>
      <c r="J40" s="32">
        <f>VLOOKUP(B40,Input!$F$2:$G$24,2,FALSE)</f>
        <v>5675</v>
      </c>
      <c r="K40" s="41">
        <f t="shared" si="7"/>
        <v>7.9630230295167044</v>
      </c>
      <c r="L40" s="31">
        <f t="shared" si="8"/>
        <v>5675</v>
      </c>
      <c r="M40" s="31">
        <f t="shared" si="9"/>
        <v>0</v>
      </c>
      <c r="N40" s="1"/>
    </row>
    <row r="41" spans="1:14" s="18" customFormat="1" ht="18.75" customHeight="1" x14ac:dyDescent="0.25">
      <c r="A41" s="1">
        <v>20</v>
      </c>
      <c r="B41" s="2" t="s">
        <v>26</v>
      </c>
      <c r="C41" s="2">
        <v>5</v>
      </c>
      <c r="D41" s="2">
        <f t="shared" si="5"/>
        <v>3000000</v>
      </c>
      <c r="E41" s="2">
        <f>VLOOKUP(B41,Input!$I$2:$J$24,2,FALSE)</f>
        <v>0</v>
      </c>
      <c r="F41" s="2">
        <f>VLOOKUP(B41,Input!$I$2:$K$24,3,FALSE)</f>
        <v>0</v>
      </c>
      <c r="G41" s="2">
        <f t="shared" si="6"/>
        <v>0</v>
      </c>
      <c r="H41" s="11">
        <f>VLOOKUP(B41,Input!$B$2:$D$24,2,FALSE)</f>
        <v>1416</v>
      </c>
      <c r="I41" s="1">
        <f>VLOOKUP(B41,Input!$B$2:$D$24,3,FALSE)</f>
        <v>1900</v>
      </c>
      <c r="J41" s="32">
        <f>VLOOKUP(B41,Input!$F$2:$G$24,2,FALSE)</f>
        <v>1545</v>
      </c>
      <c r="K41" s="41">
        <f t="shared" si="7"/>
        <v>-9.1101694915254239</v>
      </c>
      <c r="L41" s="31">
        <f t="shared" si="8"/>
        <v>1545</v>
      </c>
      <c r="M41" s="31">
        <f t="shared" si="9"/>
        <v>0</v>
      </c>
      <c r="N41" s="1"/>
    </row>
    <row r="42" spans="1:14" ht="18.75" customHeight="1" x14ac:dyDescent="0.25">
      <c r="A42" s="21">
        <v>21</v>
      </c>
      <c r="B42" s="23" t="s">
        <v>27</v>
      </c>
      <c r="C42" s="23">
        <v>15</v>
      </c>
      <c r="D42" s="23">
        <f t="shared" si="5"/>
        <v>9000000</v>
      </c>
      <c r="E42" s="23">
        <f>VLOOKUP(B42,Input!$I$2:$J$24,2,FALSE)</f>
        <v>1964963</v>
      </c>
      <c r="F42" s="23">
        <f>VLOOKUP(B42,Input!$I$2:$K$24,3,FALSE)</f>
        <v>3929</v>
      </c>
      <c r="G42" s="23">
        <f t="shared" si="6"/>
        <v>3732.5499999999997</v>
      </c>
      <c r="H42" s="19">
        <f>VLOOKUP(B42,Input!$B$2:$D$24,2,FALSE)</f>
        <v>4782</v>
      </c>
      <c r="I42" s="21">
        <f>VLOOKUP(B42,Input!$B$2:$D$24,3,FALSE)</f>
        <v>5800</v>
      </c>
      <c r="J42" s="32">
        <f>VLOOKUP(B42,Input!$F$2:$G$24,2,FALSE)</f>
        <v>4120</v>
      </c>
      <c r="K42" s="37">
        <f t="shared" si="7"/>
        <v>13.843580092011711</v>
      </c>
      <c r="L42" s="20">
        <f t="shared" si="8"/>
        <v>191</v>
      </c>
      <c r="M42" s="20">
        <f t="shared" si="9"/>
        <v>4.8612878595062359</v>
      </c>
      <c r="N42" s="21"/>
    </row>
    <row r="43" spans="1:14" ht="18.75" customHeight="1" x14ac:dyDescent="0.25">
      <c r="A43" s="1">
        <v>23</v>
      </c>
      <c r="B43" s="2" t="s">
        <v>29</v>
      </c>
      <c r="C43" s="2">
        <v>10</v>
      </c>
      <c r="D43" s="2">
        <f t="shared" si="5"/>
        <v>6000000</v>
      </c>
      <c r="E43" s="2">
        <f>VLOOKUP(B43,Input!$I$2:$J$24,2,FALSE)</f>
        <v>2283781</v>
      </c>
      <c r="F43" s="2">
        <f>VLOOKUP(B43,Input!$I$2:$K$24,3,FALSE)</f>
        <v>634</v>
      </c>
      <c r="G43" s="2">
        <f t="shared" si="6"/>
        <v>602.29999999999995</v>
      </c>
      <c r="H43" s="11">
        <f>VLOOKUP(B43,Input!$B$2:$D$24,2,FALSE)</f>
        <v>500</v>
      </c>
      <c r="I43" s="1">
        <f>VLOOKUP(B43,Input!$B$2:$D$24,3,FALSE)</f>
        <v>600</v>
      </c>
      <c r="J43" s="32">
        <f>VLOOKUP(B43,Input!$F$2:$G$24,2,FALSE)</f>
        <v>404</v>
      </c>
      <c r="K43" s="41">
        <f t="shared" si="7"/>
        <v>19.2</v>
      </c>
      <c r="L43" s="31">
        <f t="shared" si="8"/>
        <v>-230</v>
      </c>
      <c r="M43" s="31">
        <f t="shared" si="9"/>
        <v>-36.277602523659311</v>
      </c>
      <c r="N43" s="5" t="b">
        <f>IF(J43 &lt; G43, TRUE, FALSE)</f>
        <v>1</v>
      </c>
    </row>
    <row r="44" spans="1:14" s="10" customFormat="1" ht="18.75" customHeight="1" x14ac:dyDescent="0.25">
      <c r="A44" s="9"/>
      <c r="E44" s="10">
        <f>SUM(E38:E43)</f>
        <v>11361850</v>
      </c>
      <c r="I44" s="9"/>
      <c r="L44" s="9"/>
      <c r="M44" s="15"/>
      <c r="N44" s="9"/>
    </row>
  </sheetData>
  <sortState ref="A13:N20">
    <sortCondition ref="B13:B20"/>
  </sortState>
  <conditionalFormatting sqref="E4">
    <cfRule type="expression" dxfId="77" priority="39">
      <formula>$E4&gt;=$D4</formula>
    </cfRule>
    <cfRule type="expression" dxfId="76" priority="40">
      <formula>$E4 &lt; $D4</formula>
    </cfRule>
  </conditionalFormatting>
  <conditionalFormatting sqref="E13:E20">
    <cfRule type="expression" dxfId="75" priority="37">
      <formula>$E13&gt;=$D13</formula>
    </cfRule>
    <cfRule type="expression" dxfId="74" priority="38">
      <formula>$E13 &lt; $D13</formula>
    </cfRule>
  </conditionalFormatting>
  <conditionalFormatting sqref="E25:E26">
    <cfRule type="expression" dxfId="73" priority="35">
      <formula>$E25&gt;=$D25</formula>
    </cfRule>
    <cfRule type="expression" dxfId="72" priority="36">
      <formula>$E25 &lt; $D25</formula>
    </cfRule>
  </conditionalFormatting>
  <conditionalFormatting sqref="E31:E33">
    <cfRule type="expression" dxfId="71" priority="33">
      <formula>$E31&gt;=$D31</formula>
    </cfRule>
    <cfRule type="expression" dxfId="70" priority="34">
      <formula>$E31 &lt; $D31</formula>
    </cfRule>
  </conditionalFormatting>
  <conditionalFormatting sqref="E38:E43">
    <cfRule type="expression" dxfId="69" priority="31">
      <formula>$E38&gt;=$D38</formula>
    </cfRule>
    <cfRule type="expression" dxfId="68" priority="32">
      <formula>$E38 &lt; $D38</formula>
    </cfRule>
  </conditionalFormatting>
  <conditionalFormatting sqref="K4:K8">
    <cfRule type="expression" dxfId="67" priority="29">
      <formula>$J4 &gt; $H4</formula>
    </cfRule>
    <cfRule type="expression" dxfId="66" priority="30">
      <formula>$J4 &lt; $H4</formula>
    </cfRule>
  </conditionalFormatting>
  <conditionalFormatting sqref="K13:K20">
    <cfRule type="expression" dxfId="65" priority="27">
      <formula>$J13 &gt; $H13</formula>
    </cfRule>
    <cfRule type="expression" dxfId="64" priority="28">
      <formula>$J13 &lt; $H13</formula>
    </cfRule>
  </conditionalFormatting>
  <conditionalFormatting sqref="K38:K43 K31:K33 K25:K26">
    <cfRule type="expression" dxfId="63" priority="25">
      <formula>$J25 &gt; $H25</formula>
    </cfRule>
    <cfRule type="expression" dxfId="62" priority="26">
      <formula>$J25 &lt; $H25</formula>
    </cfRule>
  </conditionalFormatting>
  <conditionalFormatting sqref="M4:M8">
    <cfRule type="expression" dxfId="61" priority="23">
      <formula>$M4&lt;0</formula>
    </cfRule>
    <cfRule type="expression" dxfId="60" priority="24">
      <formula>$M4 &gt; 0</formula>
    </cfRule>
  </conditionalFormatting>
  <conditionalFormatting sqref="M13:M20">
    <cfRule type="expression" dxfId="59" priority="21">
      <formula>$M13&lt;0</formula>
    </cfRule>
    <cfRule type="expression" dxfId="58" priority="22">
      <formula>$M13 &gt; 0</formula>
    </cfRule>
  </conditionalFormatting>
  <conditionalFormatting sqref="M25:M26 M31:M33 M38:M43">
    <cfRule type="expression" dxfId="57" priority="19">
      <formula>$M25&lt;0</formula>
    </cfRule>
    <cfRule type="expression" dxfId="56" priority="20">
      <formula>$M25 &gt; 0</formula>
    </cfRule>
  </conditionalFormatting>
  <conditionalFormatting sqref="L4">
    <cfRule type="expression" dxfId="55" priority="17">
      <formula>$M4&lt;0</formula>
    </cfRule>
    <cfRule type="expression" dxfId="54" priority="18">
      <formula>$M4 &gt; 0</formula>
    </cfRule>
  </conditionalFormatting>
  <conditionalFormatting sqref="L5:L8">
    <cfRule type="expression" dxfId="53" priority="15">
      <formula>$M5&lt;0</formula>
    </cfRule>
    <cfRule type="expression" dxfId="52" priority="16">
      <formula>$M5 &gt; 0</formula>
    </cfRule>
  </conditionalFormatting>
  <conditionalFormatting sqref="L13:L20">
    <cfRule type="expression" dxfId="51" priority="13">
      <formula>$M13&lt;0</formula>
    </cfRule>
    <cfRule type="expression" dxfId="50" priority="14">
      <formula>$M13 &gt; 0</formula>
    </cfRule>
  </conditionalFormatting>
  <conditionalFormatting sqref="L25:L26">
    <cfRule type="expression" dxfId="49" priority="11">
      <formula>$M25&lt;0</formula>
    </cfRule>
    <cfRule type="expression" dxfId="48" priority="12">
      <formula>$M25 &gt; 0</formula>
    </cfRule>
  </conditionalFormatting>
  <conditionalFormatting sqref="L31:L33">
    <cfRule type="expression" dxfId="47" priority="9">
      <formula>$M31&lt;0</formula>
    </cfRule>
    <cfRule type="expression" dxfId="46" priority="10">
      <formula>$M31 &gt; 0</formula>
    </cfRule>
  </conditionalFormatting>
  <conditionalFormatting sqref="L38:L43">
    <cfRule type="expression" dxfId="45" priority="7">
      <formula>$M38&lt;0</formula>
    </cfRule>
    <cfRule type="expression" dxfId="44" priority="8">
      <formula>$M38 &gt; 0</formula>
    </cfRule>
  </conditionalFormatting>
  <conditionalFormatting sqref="L1">
    <cfRule type="cellIs" dxfId="43" priority="5" operator="lessThan">
      <formula>0</formula>
    </cfRule>
    <cfRule type="cellIs" dxfId="42" priority="6" operator="greaterThan">
      <formula>0</formula>
    </cfRule>
  </conditionalFormatting>
  <conditionalFormatting sqref="M1">
    <cfRule type="expression" dxfId="41" priority="3">
      <formula>$M1&lt;0</formula>
    </cfRule>
    <cfRule type="expression" dxfId="40" priority="4">
      <formula>$M1 &gt; 0</formula>
    </cfRule>
  </conditionalFormatting>
  <conditionalFormatting sqref="E5:E8">
    <cfRule type="expression" dxfId="39" priority="1">
      <formula>$E5&gt;=$D5</formula>
    </cfRule>
    <cfRule type="expression" dxfId="38" priority="2">
      <formula>$E5 &lt; $D5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E13" sqref="E13"/>
    </sheetView>
  </sheetViews>
  <sheetFormatPr defaultRowHeight="15" x14ac:dyDescent="0.25"/>
  <cols>
    <col min="1" max="1" width="6.85546875" style="1" bestFit="1" customWidth="1"/>
    <col min="2" max="6" width="17" style="2" customWidth="1"/>
    <col min="7" max="7" width="17" style="1" customWidth="1"/>
    <col min="8" max="8" width="17" style="2" customWidth="1"/>
    <col min="9" max="11" width="17" style="1" customWidth="1"/>
    <col min="12" max="12" width="17" style="2" customWidth="1"/>
    <col min="13" max="13" width="17" style="12" customWidth="1"/>
    <col min="14" max="14" width="17" style="2" customWidth="1"/>
    <col min="15" max="16384" width="9.140625" style="2"/>
  </cols>
  <sheetData>
    <row r="1" spans="1:14" ht="18.75" customHeight="1" x14ac:dyDescent="0.25">
      <c r="B1" s="2" t="s">
        <v>2</v>
      </c>
      <c r="C1" s="2">
        <f>'SORT BY EMITEN'!C1</f>
        <v>60000000</v>
      </c>
      <c r="D1" s="2">
        <f>'SORT BY EMITEN'!D1</f>
        <v>47014975</v>
      </c>
      <c r="E1" s="2">
        <f>'SORT BY EMITEN'!E1</f>
        <v>12985025</v>
      </c>
      <c r="F1" s="2">
        <f>'SORT BY EMITEN'!F1</f>
        <v>0</v>
      </c>
      <c r="G1" s="2">
        <f>'SORT BY EMITEN'!G1</f>
        <v>0</v>
      </c>
      <c r="I1" s="2" t="str">
        <f>'SORT BY EMITEN'!I1</f>
        <v>TOTAL EQ</v>
      </c>
      <c r="J1" s="2">
        <f>'SORT BY EMITEN'!J1</f>
        <v>46327285</v>
      </c>
      <c r="K1" s="2"/>
      <c r="L1" s="2">
        <f>'SORT BY EMITEN'!L1</f>
        <v>-13672715</v>
      </c>
      <c r="M1" s="12">
        <f>'SORT BY EMITEN'!M1</f>
        <v>-22.787858333333332</v>
      </c>
    </row>
    <row r="2" spans="1:14" s="4" customFormat="1" ht="18.75" customHeight="1" x14ac:dyDescent="0.25">
      <c r="A2" s="3" t="s">
        <v>11</v>
      </c>
      <c r="B2" s="4" t="s">
        <v>1</v>
      </c>
      <c r="E2" s="4">
        <v>20</v>
      </c>
      <c r="F2" s="4">
        <f>$E2*$C$1/100</f>
        <v>12000000</v>
      </c>
      <c r="G2" s="4">
        <f>$E$9-$F2</f>
        <v>-793305</v>
      </c>
      <c r="I2" s="3"/>
      <c r="L2" s="3"/>
      <c r="M2" s="13"/>
      <c r="N2" s="3"/>
    </row>
    <row r="3" spans="1:14" s="7" customFormat="1" ht="18.75" customHeight="1" x14ac:dyDescent="0.25">
      <c r="C3" s="8" t="s">
        <v>39</v>
      </c>
      <c r="D3" s="8" t="s">
        <v>40</v>
      </c>
      <c r="E3" s="8" t="s">
        <v>32</v>
      </c>
      <c r="F3" s="8" t="s">
        <v>33</v>
      </c>
      <c r="G3" s="8" t="s">
        <v>34</v>
      </c>
      <c r="H3" s="8" t="s">
        <v>31</v>
      </c>
      <c r="I3" s="8" t="s">
        <v>35</v>
      </c>
      <c r="J3" s="8" t="s">
        <v>36</v>
      </c>
      <c r="K3" s="8" t="s">
        <v>42</v>
      </c>
      <c r="L3" s="8" t="s">
        <v>37</v>
      </c>
      <c r="M3" s="14" t="s">
        <v>41</v>
      </c>
      <c r="N3" s="8" t="s">
        <v>38</v>
      </c>
    </row>
    <row r="4" spans="1:14" s="18" customFormat="1" ht="18.75" customHeight="1" x14ac:dyDescent="0.25">
      <c r="A4" s="17">
        <v>1</v>
      </c>
      <c r="B4" s="18" t="s">
        <v>6</v>
      </c>
      <c r="C4" s="18">
        <f>VLOOKUP($B4,'SORT BY EMITEN'!$B$4:$N$43,2, FALSE)</f>
        <v>15</v>
      </c>
      <c r="D4" s="18">
        <f>VLOOKUP($B4,'SORT BY EMITEN'!$B$4:$N$43,3, FALSE)</f>
        <v>9000000</v>
      </c>
      <c r="E4" s="23">
        <f>VLOOKUP($B4,'SORT BY EMITEN'!$B$4:$N$43,4, FALSE)</f>
        <v>6995488</v>
      </c>
      <c r="F4" s="18">
        <f>VLOOKUP($B4,'SORT BY EMITEN'!$B$4:$N$43,5, FALSE)</f>
        <v>4568</v>
      </c>
      <c r="G4" s="18">
        <f>VLOOKUP($B4,'SORT BY EMITEN'!$B$4:$N$43,6, FALSE)</f>
        <v>4339.5999999999995</v>
      </c>
      <c r="H4" s="19">
        <f>VLOOKUP($B4,'SORT BY EMITEN'!$B$4:$N$43,7, FALSE)</f>
        <v>5391</v>
      </c>
      <c r="I4" s="17">
        <f>VLOOKUP($B4,'SORT BY EMITEN'!$B$4:$N$43,8, FALSE)</f>
        <v>6200</v>
      </c>
      <c r="J4" s="32">
        <f>VLOOKUP($B4,'SORT BY EMITEN'!$B$4:$N$43,9, FALSE)</f>
        <v>4860</v>
      </c>
      <c r="K4" s="37">
        <f>VLOOKUP($B4,'SORT BY EMITEN'!$B$4:$N$43,10, FALSE)</f>
        <v>9.8497495826377293</v>
      </c>
      <c r="L4" s="20">
        <f>VLOOKUP($B4,'SORT BY EMITEN'!$B$4:$N$43,11, FALSE)</f>
        <v>292</v>
      </c>
      <c r="M4" s="20">
        <f>VLOOKUP($B4,'SORT BY EMITEN'!$B$4:$N$43,12, FALSE)</f>
        <v>6.3922942206654998</v>
      </c>
      <c r="N4" s="21" t="b">
        <f>VLOOKUP($B4,'SORT BY EMITEN'!$B$4:$N$43,13, FALSE)</f>
        <v>0</v>
      </c>
    </row>
    <row r="5" spans="1:14" ht="18.75" customHeight="1" x14ac:dyDescent="0.25">
      <c r="A5" s="1">
        <v>2</v>
      </c>
      <c r="B5" s="2" t="s">
        <v>7</v>
      </c>
      <c r="C5" s="2">
        <f>VLOOKUP($B5,'SORT BY EMITEN'!$B$4:$N$43,2, FALSE)</f>
        <v>10</v>
      </c>
      <c r="D5" s="2">
        <f>VLOOKUP($B5,'SORT BY EMITEN'!$B$4:$N$43,3, FALSE)</f>
        <v>6000000</v>
      </c>
      <c r="E5" s="2">
        <f>VLOOKUP($B5,'SORT BY EMITEN'!$B$4:$N$43,4, FALSE)</f>
        <v>0</v>
      </c>
      <c r="F5" s="2">
        <f>VLOOKUP($B5,'SORT BY EMITEN'!$B$4:$N$43,5, FALSE)</f>
        <v>0</v>
      </c>
      <c r="G5" s="2">
        <f>VLOOKUP($B5,'SORT BY EMITEN'!$B$4:$N$43,6, FALSE)</f>
        <v>0</v>
      </c>
      <c r="H5" s="11">
        <f>VLOOKUP($B5,'SORT BY EMITEN'!$B$4:$N$43,7, FALSE)</f>
        <v>9666</v>
      </c>
      <c r="I5" s="1">
        <f>VLOOKUP($B5,'SORT BY EMITEN'!$B$4:$N$43,8, FALSE)</f>
        <v>11600</v>
      </c>
      <c r="J5" s="33">
        <f>VLOOKUP($B5,'SORT BY EMITEN'!$B$4:$N$43,9, FALSE)</f>
        <v>9375</v>
      </c>
      <c r="K5" s="38">
        <f>VLOOKUP($B5,'SORT BY EMITEN'!$B$4:$N$43,10, FALSE)</f>
        <v>3.0105524518932341</v>
      </c>
      <c r="L5" s="31">
        <f>VLOOKUP($B5,'SORT BY EMITEN'!$B$4:$N$43,11, FALSE)</f>
        <v>9375</v>
      </c>
      <c r="M5" s="31">
        <f>VLOOKUP($B5,'SORT BY EMITEN'!$B$4:$N$43,12, FALSE)</f>
        <v>0</v>
      </c>
      <c r="N5" s="1">
        <f>VLOOKUP($B5,'SORT BY EMITEN'!$B$4:$N$43,13, FALSE)</f>
        <v>0</v>
      </c>
    </row>
    <row r="6" spans="1:14" s="23" customFormat="1" ht="18.75" customHeight="1" x14ac:dyDescent="0.25">
      <c r="A6" s="21">
        <v>3</v>
      </c>
      <c r="B6" s="23" t="s">
        <v>8</v>
      </c>
      <c r="C6" s="23">
        <f>VLOOKUP($B6,'SORT BY EMITEN'!$B$4:$N$43,2, FALSE)</f>
        <v>10</v>
      </c>
      <c r="D6" s="23">
        <f>VLOOKUP($B6,'SORT BY EMITEN'!$B$4:$N$43,3, FALSE)</f>
        <v>6000000</v>
      </c>
      <c r="E6" s="23">
        <f>VLOOKUP($B6,'SORT BY EMITEN'!$B$4:$N$43,4, FALSE)</f>
        <v>0</v>
      </c>
      <c r="F6" s="23">
        <f>VLOOKUP($B6,'SORT BY EMITEN'!$B$4:$N$43,5, FALSE)</f>
        <v>0</v>
      </c>
      <c r="G6" s="23">
        <f>VLOOKUP($B6,'SORT BY EMITEN'!$B$4:$N$43,6, FALSE)</f>
        <v>0</v>
      </c>
      <c r="H6" s="19">
        <f>VLOOKUP($B6,'SORT BY EMITEN'!$B$4:$N$43,7, FALSE)</f>
        <v>5217</v>
      </c>
      <c r="I6" s="21">
        <f>VLOOKUP($B6,'SORT BY EMITEN'!$B$4:$N$43,8, FALSE)</f>
        <v>6000</v>
      </c>
      <c r="J6" s="42">
        <f>VLOOKUP($B6,'SORT BY EMITEN'!$B$4:$N$43,9, FALSE)</f>
        <v>5225</v>
      </c>
      <c r="K6" s="43">
        <f>VLOOKUP($B6,'SORT BY EMITEN'!$B$4:$N$43,10, FALSE)</f>
        <v>-0.15334483419589803</v>
      </c>
      <c r="L6" s="20">
        <f>VLOOKUP($B6,'SORT BY EMITEN'!$B$4:$N$43,11, FALSE)</f>
        <v>5225</v>
      </c>
      <c r="M6" s="20">
        <f>VLOOKUP($B6,'SORT BY EMITEN'!$B$4:$N$43,12, FALSE)</f>
        <v>0</v>
      </c>
      <c r="N6" s="21">
        <f>VLOOKUP($B6,'SORT BY EMITEN'!$B$4:$N$43,13, FALSE)</f>
        <v>0</v>
      </c>
    </row>
    <row r="7" spans="1:14" s="18" customFormat="1" ht="18.75" customHeight="1" x14ac:dyDescent="0.25">
      <c r="A7" s="17">
        <v>4</v>
      </c>
      <c r="B7" s="18" t="s">
        <v>9</v>
      </c>
      <c r="C7" s="18">
        <f>VLOOKUP($B7,'SORT BY EMITEN'!$B$4:$N$43,2, FALSE)</f>
        <v>15</v>
      </c>
      <c r="D7" s="18">
        <f>VLOOKUP($B7,'SORT BY EMITEN'!$B$4:$N$43,3, FALSE)</f>
        <v>9000000</v>
      </c>
      <c r="E7" s="23">
        <f>VLOOKUP($B7,'SORT BY EMITEN'!$B$4:$N$43,4, FALSE)</f>
        <v>745745</v>
      </c>
      <c r="F7" s="18">
        <f>VLOOKUP($B7,'SORT BY EMITEN'!$B$4:$N$43,5, FALSE)</f>
        <v>7457</v>
      </c>
      <c r="G7" s="18">
        <f>VLOOKUP($B7,'SORT BY EMITEN'!$B$4:$N$43,6, FALSE)</f>
        <v>7084.15</v>
      </c>
      <c r="H7" s="19">
        <f>VLOOKUP($B7,'SORT BY EMITEN'!$B$4:$N$43,7, FALSE)</f>
        <v>8695</v>
      </c>
      <c r="I7" s="17">
        <f>VLOOKUP($B7,'SORT BY EMITEN'!$B$4:$N$43,8, FALSE)</f>
        <v>10000</v>
      </c>
      <c r="J7" s="32">
        <f>VLOOKUP($B7,'SORT BY EMITEN'!$B$4:$N$43,9, FALSE)</f>
        <v>8775</v>
      </c>
      <c r="K7" s="37">
        <f>VLOOKUP($B7,'SORT BY EMITEN'!$B$4:$N$43,10, FALSE)</f>
        <v>-0.92006900517538814</v>
      </c>
      <c r="L7" s="20">
        <f>VLOOKUP($B7,'SORT BY EMITEN'!$B$4:$N$43,11, FALSE)</f>
        <v>1318</v>
      </c>
      <c r="M7" s="20">
        <f>VLOOKUP($B7,'SORT BY EMITEN'!$B$4:$N$43,12, FALSE)</f>
        <v>17.674668097089981</v>
      </c>
      <c r="N7" s="21" t="b">
        <f>VLOOKUP($B7,'SORT BY EMITEN'!$B$4:$N$43,13, FALSE)</f>
        <v>0</v>
      </c>
    </row>
    <row r="8" spans="1:14" ht="18.75" customHeight="1" x14ac:dyDescent="0.25">
      <c r="A8" s="1">
        <v>5</v>
      </c>
      <c r="B8" s="2" t="s">
        <v>10</v>
      </c>
      <c r="C8" s="2">
        <f>VLOOKUP($B8,'SORT BY EMITEN'!$B$4:$N$43,2, FALSE)</f>
        <v>10</v>
      </c>
      <c r="D8" s="2">
        <f>VLOOKUP($B8,'SORT BY EMITEN'!$B$4:$N$43,3, FALSE)</f>
        <v>6000000</v>
      </c>
      <c r="E8" s="2">
        <f>VLOOKUP($B8,'SORT BY EMITEN'!$B$4:$N$43,4, FALSE)</f>
        <v>3465462</v>
      </c>
      <c r="F8" s="2">
        <f>VLOOKUP($B8,'SORT BY EMITEN'!$B$4:$N$43,5, FALSE)</f>
        <v>3150</v>
      </c>
      <c r="G8" s="2">
        <f>VLOOKUP($B8,'SORT BY EMITEN'!$B$4:$N$43,6, FALSE)</f>
        <v>2992.5</v>
      </c>
      <c r="H8" s="11">
        <f>VLOOKUP($B8,'SORT BY EMITEN'!$B$4:$N$43,7, FALSE)</f>
        <v>3200</v>
      </c>
      <c r="I8" s="1">
        <f>VLOOKUP($B8,'SORT BY EMITEN'!$B$4:$N$43,8, FALSE)</f>
        <v>3850</v>
      </c>
      <c r="J8" s="33">
        <f>VLOOKUP($B8,'SORT BY EMITEN'!$B$4:$N$43,9, FALSE)</f>
        <v>2150</v>
      </c>
      <c r="K8" s="39">
        <f>VLOOKUP($B8,'SORT BY EMITEN'!$B$4:$N$43,10, FALSE)</f>
        <v>32.8125</v>
      </c>
      <c r="L8" s="31">
        <f>VLOOKUP($B8,'SORT BY EMITEN'!$B$4:$N$43,11, FALSE)</f>
        <v>-1000</v>
      </c>
      <c r="M8" s="31">
        <f>VLOOKUP($B8,'SORT BY EMITEN'!$B$4:$N$43,12, FALSE)</f>
        <v>-31.746031746031743</v>
      </c>
      <c r="N8" s="5" t="b">
        <f>VLOOKUP($B8,'SORT BY EMITEN'!$B$4:$N$43,13, FALSE)</f>
        <v>1</v>
      </c>
    </row>
    <row r="9" spans="1:14" s="10" customFormat="1" ht="18.75" customHeight="1" x14ac:dyDescent="0.25">
      <c r="A9" s="9"/>
      <c r="E9" s="10">
        <f>SUM(E4:E8)</f>
        <v>11206695</v>
      </c>
      <c r="I9" s="9"/>
      <c r="L9" s="9"/>
      <c r="M9" s="15"/>
      <c r="N9" s="9"/>
    </row>
    <row r="10" spans="1:14" customFormat="1" ht="18.75" customHeight="1" x14ac:dyDescent="0.25">
      <c r="K10" s="22"/>
      <c r="M10" s="16"/>
    </row>
    <row r="11" spans="1:14" s="4" customFormat="1" ht="18.75" customHeight="1" x14ac:dyDescent="0.25">
      <c r="A11" s="3" t="s">
        <v>11</v>
      </c>
      <c r="B11" s="4" t="s">
        <v>0</v>
      </c>
      <c r="E11" s="4">
        <v>30</v>
      </c>
      <c r="F11" s="4">
        <f>$E11*$C$1/100</f>
        <v>18000000</v>
      </c>
      <c r="G11" s="4">
        <f>$E$21-$F11</f>
        <v>-5394498</v>
      </c>
      <c r="I11" s="3"/>
      <c r="L11" s="3"/>
      <c r="M11" s="13"/>
      <c r="N11" s="3"/>
    </row>
    <row r="12" spans="1:14" s="7" customFormat="1" ht="18.75" customHeight="1" x14ac:dyDescent="0.25">
      <c r="C12" s="8" t="s">
        <v>39</v>
      </c>
      <c r="D12" s="8" t="s">
        <v>40</v>
      </c>
      <c r="E12" s="8" t="s">
        <v>32</v>
      </c>
      <c r="F12" s="8" t="s">
        <v>33</v>
      </c>
      <c r="G12" s="8" t="s">
        <v>34</v>
      </c>
      <c r="H12" s="8" t="s">
        <v>31</v>
      </c>
      <c r="I12" s="8" t="s">
        <v>35</v>
      </c>
      <c r="J12" s="8" t="s">
        <v>36</v>
      </c>
      <c r="K12" s="8" t="s">
        <v>42</v>
      </c>
      <c r="L12" s="8" t="s">
        <v>37</v>
      </c>
      <c r="M12" s="14" t="s">
        <v>41</v>
      </c>
      <c r="N12" s="8" t="s">
        <v>38</v>
      </c>
    </row>
    <row r="13" spans="1:14" s="26" customFormat="1" ht="18.75" customHeight="1" x14ac:dyDescent="0.25">
      <c r="A13" s="17">
        <v>7</v>
      </c>
      <c r="B13" s="18" t="s">
        <v>13</v>
      </c>
      <c r="C13" s="18">
        <f>VLOOKUP($B13,'SORT BY EMITEN'!$B$4:$N$43,2, FALSE)</f>
        <v>15</v>
      </c>
      <c r="D13" s="18">
        <f>VLOOKUP($B13,'SORT BY EMITEN'!$B$4:$N$43,3, FALSE)</f>
        <v>9000000</v>
      </c>
      <c r="E13" s="23">
        <f>VLOOKUP($B13,'SORT BY EMITEN'!$B$4:$N$43,4, FALSE)</f>
        <v>5077572</v>
      </c>
      <c r="F13" s="18">
        <f>VLOOKUP($B13,'SORT BY EMITEN'!$B$4:$N$43,5, FALSE)</f>
        <v>6346</v>
      </c>
      <c r="G13" s="18">
        <f>VLOOKUP($B13,'SORT BY EMITEN'!$B$4:$N$43,6, FALSE)</f>
        <v>6028.7</v>
      </c>
      <c r="H13" s="19">
        <f>VLOOKUP($B13,'SORT BY EMITEN'!$B$4:$N$43,7, FALSE)</f>
        <v>7130</v>
      </c>
      <c r="I13" s="17">
        <f>VLOOKUP($B13,'SORT BY EMITEN'!$B$4:$N$43,8, FALSE)</f>
        <v>8200</v>
      </c>
      <c r="J13" s="32">
        <f>VLOOKUP($B13,'SORT BY EMITEN'!$B$4:$N$43,9, FALSE)</f>
        <v>6025</v>
      </c>
      <c r="K13" s="37">
        <f>VLOOKUP($B13,'SORT BY EMITEN'!$B$4:$N$43,10, FALSE)</f>
        <v>15.497896213183731</v>
      </c>
      <c r="L13" s="20">
        <f>VLOOKUP($B13,'SORT BY EMITEN'!$B$4:$N$43,11, FALSE)</f>
        <v>-321</v>
      </c>
      <c r="M13" s="20">
        <f>VLOOKUP($B13,'SORT BY EMITEN'!$B$4:$N$43,12, FALSE)</f>
        <v>-5.0583044437440909</v>
      </c>
      <c r="N13" s="17">
        <f>VLOOKUP($B13,'SORT BY EMITEN'!$B$4:$N$43,13, FALSE)</f>
        <v>0</v>
      </c>
    </row>
    <row r="14" spans="1:14" s="18" customFormat="1" ht="18.75" customHeight="1" x14ac:dyDescent="0.25">
      <c r="A14" s="21">
        <v>8</v>
      </c>
      <c r="B14" s="44" t="s">
        <v>14</v>
      </c>
      <c r="C14" s="23">
        <f>VLOOKUP($B14,'SORT BY EMITEN'!$B$4:$N$43,2, FALSE)</f>
        <v>15</v>
      </c>
      <c r="D14" s="23">
        <f>VLOOKUP($B14,'SORT BY EMITEN'!$B$4:$N$43,3, FALSE)</f>
        <v>9000000</v>
      </c>
      <c r="E14" s="23">
        <f>VLOOKUP($B14,'SORT BY EMITEN'!$B$4:$N$43,4, FALSE)</f>
        <v>3641137</v>
      </c>
      <c r="F14" s="23">
        <f>VLOOKUP($B14,'SORT BY EMITEN'!$B$4:$N$43,5, FALSE)</f>
        <v>9102</v>
      </c>
      <c r="G14" s="23">
        <f>VLOOKUP($B14,'SORT BY EMITEN'!$B$4:$N$43,6, FALSE)</f>
        <v>8646.9</v>
      </c>
      <c r="H14" s="19">
        <f>VLOOKUP($B14,'SORT BY EMITEN'!$B$4:$N$43,7, FALSE)</f>
        <v>10434</v>
      </c>
      <c r="I14" s="21">
        <f>VLOOKUP($B14,'SORT BY EMITEN'!$B$4:$N$43,8, FALSE)</f>
        <v>12000</v>
      </c>
      <c r="J14" s="42">
        <f>VLOOKUP($B14,'SORT BY EMITEN'!$B$4:$N$43,9, FALSE)</f>
        <v>10100</v>
      </c>
      <c r="K14" s="37">
        <f>VLOOKUP($B14,'SORT BY EMITEN'!$B$4:$N$43,10, FALSE)</f>
        <v>3.2010734138393713</v>
      </c>
      <c r="L14" s="20">
        <f>VLOOKUP($B14,'SORT BY EMITEN'!$B$4:$N$43,11, FALSE)</f>
        <v>998</v>
      </c>
      <c r="M14" s="20">
        <f>VLOOKUP($B14,'SORT BY EMITEN'!$B$4:$N$43,12, FALSE)</f>
        <v>10.964623159745111</v>
      </c>
      <c r="N14" s="21">
        <f>VLOOKUP($B14,'SORT BY EMITEN'!$B$4:$N$43,13, FALSE)</f>
        <v>0</v>
      </c>
    </row>
    <row r="15" spans="1:14" s="23" customFormat="1" ht="18.75" customHeight="1" x14ac:dyDescent="0.25">
      <c r="A15" s="1">
        <v>9</v>
      </c>
      <c r="B15" s="2" t="s">
        <v>15</v>
      </c>
      <c r="C15" s="2">
        <f>VLOOKUP($B15,'SORT BY EMITEN'!$B$4:$N$43,2, FALSE)</f>
        <v>10</v>
      </c>
      <c r="D15" s="2">
        <f>VLOOKUP($B15,'SORT BY EMITEN'!$B$4:$N$43,3, FALSE)</f>
        <v>6000000</v>
      </c>
      <c r="E15" s="2">
        <f>VLOOKUP($B15,'SORT BY EMITEN'!$B$4:$N$43,4, FALSE)</f>
        <v>0</v>
      </c>
      <c r="F15" s="2">
        <f>VLOOKUP($B15,'SORT BY EMITEN'!$B$4:$N$43,5, FALSE)</f>
        <v>0</v>
      </c>
      <c r="G15" s="2">
        <f>VLOOKUP($B15,'SORT BY EMITEN'!$B$4:$N$43,6, FALSE)</f>
        <v>0</v>
      </c>
      <c r="H15" s="11">
        <f>VLOOKUP($B15,'SORT BY EMITEN'!$B$4:$N$43,7, FALSE)</f>
        <v>1916</v>
      </c>
      <c r="I15" s="1">
        <f>VLOOKUP($B15,'SORT BY EMITEN'!$B$4:$N$43,8, FALSE)</f>
        <v>2300</v>
      </c>
      <c r="J15" s="33">
        <f>VLOOKUP($B15,'SORT BY EMITEN'!$B$4:$N$43,9, FALSE)</f>
        <v>2130</v>
      </c>
      <c r="K15" s="41">
        <f>VLOOKUP($B15,'SORT BY EMITEN'!$B$4:$N$43,10, FALSE)</f>
        <v>-11.169102296450939</v>
      </c>
      <c r="L15" s="20">
        <f>VLOOKUP($B15,'SORT BY EMITEN'!$B$4:$N$43,11, FALSE)</f>
        <v>2130</v>
      </c>
      <c r="M15" s="20">
        <f>VLOOKUP($B15,'SORT BY EMITEN'!$B$4:$N$43,12, FALSE)</f>
        <v>0</v>
      </c>
      <c r="N15" s="1">
        <f>VLOOKUP($B15,'SORT BY EMITEN'!$B$4:$N$43,13, FALSE)</f>
        <v>0</v>
      </c>
    </row>
    <row r="16" spans="1:14" ht="18.75" customHeight="1" x14ac:dyDescent="0.25">
      <c r="A16" s="28">
        <v>10</v>
      </c>
      <c r="B16" s="29" t="s">
        <v>16</v>
      </c>
      <c r="C16" s="29">
        <f>VLOOKUP($B16,'SORT BY EMITEN'!$B$4:$N$43,2, FALSE)</f>
        <v>10</v>
      </c>
      <c r="D16" s="29">
        <f>VLOOKUP($B16,'SORT BY EMITEN'!$B$4:$N$43,3, FALSE)</f>
        <v>6000000</v>
      </c>
      <c r="E16" s="6">
        <f>VLOOKUP($B16,'SORT BY EMITEN'!$B$4:$N$43,4, FALSE)</f>
        <v>1948446</v>
      </c>
      <c r="F16" s="29">
        <f>VLOOKUP($B16,'SORT BY EMITEN'!$B$4:$N$43,5, FALSE)</f>
        <v>1026</v>
      </c>
      <c r="G16" s="29">
        <f>VLOOKUP($B16,'SORT BY EMITEN'!$B$4:$N$43,6, FALSE)</f>
        <v>974.69999999999993</v>
      </c>
      <c r="H16" s="30">
        <f>VLOOKUP($B16,'SORT BY EMITEN'!$B$4:$N$43,7, FALSE)</f>
        <v>583</v>
      </c>
      <c r="I16" s="28">
        <f>VLOOKUP($B16,'SORT BY EMITEN'!$B$4:$N$43,8, FALSE)</f>
        <v>700</v>
      </c>
      <c r="J16" s="35">
        <f>VLOOKUP($B16,'SORT BY EMITEN'!$B$4:$N$43,9, FALSE)</f>
        <v>476</v>
      </c>
      <c r="K16" s="41">
        <f>VLOOKUP($B16,'SORT BY EMITEN'!$B$4:$N$43,10, FALSE)</f>
        <v>18.353344768439108</v>
      </c>
      <c r="L16" s="20">
        <f>VLOOKUP($B16,'SORT BY EMITEN'!$B$4:$N$43,11, FALSE)</f>
        <v>-550</v>
      </c>
      <c r="M16" s="20">
        <f>VLOOKUP($B16,'SORT BY EMITEN'!$B$4:$N$43,12, FALSE)</f>
        <v>-53.606237816764136</v>
      </c>
      <c r="N16" s="5" t="b">
        <f>VLOOKUP($B16,'SORT BY EMITEN'!$B$4:$N$43,13, FALSE)</f>
        <v>1</v>
      </c>
    </row>
    <row r="17" spans="1:14" s="29" customFormat="1" ht="18.75" customHeight="1" x14ac:dyDescent="0.25">
      <c r="A17" s="17">
        <v>11</v>
      </c>
      <c r="B17" s="18" t="s">
        <v>17</v>
      </c>
      <c r="C17" s="18">
        <f>VLOOKUP($B17,'SORT BY EMITEN'!$B$4:$N$43,2, FALSE)</f>
        <v>10</v>
      </c>
      <c r="D17" s="18">
        <f>VLOOKUP($B17,'SORT BY EMITEN'!$B$4:$N$43,3, FALSE)</f>
        <v>6000000</v>
      </c>
      <c r="E17" s="23">
        <f>VLOOKUP($B17,'SORT BY EMITEN'!$B$4:$N$43,4, FALSE)</f>
        <v>1938347</v>
      </c>
      <c r="F17" s="18">
        <f>VLOOKUP($B17,'SORT BY EMITEN'!$B$4:$N$43,5, FALSE)</f>
        <v>1211</v>
      </c>
      <c r="G17" s="18">
        <f>VLOOKUP($B17,'SORT BY EMITEN'!$B$4:$N$43,6, FALSE)</f>
        <v>1150.45</v>
      </c>
      <c r="H17" s="19">
        <f>VLOOKUP($B17,'SORT BY EMITEN'!$B$4:$N$43,7, FALSE)</f>
        <v>1666</v>
      </c>
      <c r="I17" s="17">
        <f>VLOOKUP($B17,'SORT BY EMITEN'!$B$4:$N$43,8, FALSE)</f>
        <v>2000</v>
      </c>
      <c r="J17" s="32">
        <f>VLOOKUP($B17,'SORT BY EMITEN'!$B$4:$N$43,9, FALSE)</f>
        <v>1445</v>
      </c>
      <c r="K17" s="37">
        <f>VLOOKUP($B17,'SORT BY EMITEN'!$B$4:$N$43,10, FALSE)</f>
        <v>13.26530612244898</v>
      </c>
      <c r="L17" s="20">
        <f>VLOOKUP($B17,'SORT BY EMITEN'!$B$4:$N$43,11, FALSE)</f>
        <v>234</v>
      </c>
      <c r="M17" s="20">
        <f>VLOOKUP($B17,'SORT BY EMITEN'!$B$4:$N$43,12, FALSE)</f>
        <v>19.322873658133773</v>
      </c>
      <c r="N17" s="21" t="b">
        <f>VLOOKUP($B17,'SORT BY EMITEN'!$B$4:$N$43,13, FALSE)</f>
        <v>0</v>
      </c>
    </row>
    <row r="18" spans="1:14" s="18" customFormat="1" ht="18.75" customHeight="1" x14ac:dyDescent="0.25">
      <c r="A18" s="1">
        <v>12</v>
      </c>
      <c r="B18" s="24" t="s">
        <v>18</v>
      </c>
      <c r="C18" s="2">
        <f>VLOOKUP($B18,'SORT BY EMITEN'!$B$4:$N$43,2, FALSE)</f>
        <v>10</v>
      </c>
      <c r="D18" s="2">
        <f>VLOOKUP($B18,'SORT BY EMITEN'!$B$4:$N$43,3, FALSE)</f>
        <v>6000000</v>
      </c>
      <c r="E18" s="2">
        <f>VLOOKUP($B18,'SORT BY EMITEN'!$B$4:$N$43,4, FALSE)</f>
        <v>0</v>
      </c>
      <c r="F18" s="2">
        <f>VLOOKUP($B18,'SORT BY EMITEN'!$B$4:$N$43,5, FALSE)</f>
        <v>0</v>
      </c>
      <c r="G18" s="2">
        <f>VLOOKUP($B18,'SORT BY EMITEN'!$B$4:$N$43,6, FALSE)</f>
        <v>0</v>
      </c>
      <c r="H18" s="11">
        <f>VLOOKUP($B18,'SORT BY EMITEN'!$B$4:$N$43,7, FALSE)</f>
        <v>2500</v>
      </c>
      <c r="I18" s="1">
        <f>VLOOKUP($B18,'SORT BY EMITEN'!$B$4:$N$43,8, FALSE)</f>
        <v>3000</v>
      </c>
      <c r="J18" s="33">
        <f>VLOOKUP($B18,'SORT BY EMITEN'!$B$4:$N$43,9, FALSE)</f>
        <v>2630</v>
      </c>
      <c r="K18" s="41">
        <f>VLOOKUP($B18,'SORT BY EMITEN'!$B$4:$N$43,10, FALSE)</f>
        <v>-5.2</v>
      </c>
      <c r="L18" s="31">
        <f>VLOOKUP($B18,'SORT BY EMITEN'!$B$4:$N$43,11, FALSE)</f>
        <v>2630</v>
      </c>
      <c r="M18" s="31">
        <f>VLOOKUP($B18,'SORT BY EMITEN'!$B$4:$N$43,12, FALSE)</f>
        <v>0</v>
      </c>
      <c r="N18" s="1">
        <f>VLOOKUP($B18,'SORT BY EMITEN'!$B$4:$N$43,13, FALSE)</f>
        <v>0</v>
      </c>
    </row>
    <row r="19" spans="1:14" ht="18.75" customHeight="1" x14ac:dyDescent="0.25">
      <c r="A19" s="28">
        <v>13</v>
      </c>
      <c r="B19" s="29" t="s">
        <v>19</v>
      </c>
      <c r="C19" s="29">
        <f>VLOOKUP($B19,'SORT BY EMITEN'!$B$4:$N$43,2, FALSE)</f>
        <v>10</v>
      </c>
      <c r="D19" s="29">
        <f>VLOOKUP($B19,'SORT BY EMITEN'!$B$4:$N$43,3, FALSE)</f>
        <v>6000000</v>
      </c>
      <c r="E19" s="6">
        <f>VLOOKUP($B19,'SORT BY EMITEN'!$B$4:$N$43,4, FALSE)</f>
        <v>0</v>
      </c>
      <c r="F19" s="29">
        <f>VLOOKUP($B19,'SORT BY EMITEN'!$B$4:$N$43,5, FALSE)</f>
        <v>0</v>
      </c>
      <c r="G19" s="29">
        <f>VLOOKUP($B19,'SORT BY EMITEN'!$B$4:$N$43,6, FALSE)</f>
        <v>0</v>
      </c>
      <c r="H19" s="30">
        <f>VLOOKUP($B19,'SORT BY EMITEN'!$B$4:$N$43,7, FALSE)</f>
        <v>870</v>
      </c>
      <c r="I19" s="28">
        <f>VLOOKUP($B19,'SORT BY EMITEN'!$B$4:$N$43,8, FALSE)</f>
        <v>1000</v>
      </c>
      <c r="J19" s="35">
        <f>VLOOKUP($B19,'SORT BY EMITEN'!$B$4:$N$43,9, FALSE)</f>
        <v>845</v>
      </c>
      <c r="K19" s="41">
        <f>VLOOKUP($B19,'SORT BY EMITEN'!$B$4:$N$43,10, FALSE)</f>
        <v>2.8735632183908044</v>
      </c>
      <c r="L19" s="31">
        <f>VLOOKUP($B19,'SORT BY EMITEN'!$B$4:$N$43,11, FALSE)</f>
        <v>845</v>
      </c>
      <c r="M19" s="31">
        <f>VLOOKUP($B19,'SORT BY EMITEN'!$B$4:$N$43,12, FALSE)</f>
        <v>0</v>
      </c>
      <c r="N19" s="5" t="b">
        <f>VLOOKUP($B19,'SORT BY EMITEN'!$B$4:$N$43,13, FALSE)</f>
        <v>0</v>
      </c>
    </row>
    <row r="20" spans="1:14" s="18" customFormat="1" ht="18.75" hidden="1" customHeight="1" x14ac:dyDescent="0.25">
      <c r="A20" s="25">
        <v>6</v>
      </c>
      <c r="B20" s="26" t="s">
        <v>12</v>
      </c>
      <c r="C20" s="26">
        <v>15</v>
      </c>
      <c r="D20" s="26">
        <f t="shared" ref="D20" si="0">C20*$C$1/100</f>
        <v>9000000</v>
      </c>
      <c r="E20" s="26"/>
      <c r="F20" s="26"/>
      <c r="G20" s="26">
        <f t="shared" ref="G20" si="1">F20*0.95</f>
        <v>0</v>
      </c>
      <c r="H20" s="27">
        <v>5652</v>
      </c>
      <c r="I20" s="25">
        <v>6500</v>
      </c>
      <c r="J20" s="34"/>
      <c r="K20" s="40">
        <f t="shared" ref="K20" si="2">(H20-J20)/H20*100</f>
        <v>100</v>
      </c>
      <c r="L20" s="45">
        <f t="shared" ref="L20" si="3">J20-F20</f>
        <v>0</v>
      </c>
      <c r="M20" s="45">
        <f t="shared" ref="M20" si="4">IF(F20 &gt; 0, L20/F20*100, 0)</f>
        <v>0</v>
      </c>
      <c r="N20" s="25"/>
    </row>
    <row r="21" spans="1:14" s="10" customFormat="1" ht="18.75" customHeight="1" x14ac:dyDescent="0.25">
      <c r="A21" s="9"/>
      <c r="E21" s="10">
        <f>SUM(E13:E20)</f>
        <v>12605502</v>
      </c>
      <c r="I21" s="9"/>
      <c r="L21" s="9"/>
      <c r="M21" s="15"/>
      <c r="N21" s="9"/>
    </row>
    <row r="22" spans="1:14" customFormat="1" ht="18.75" customHeight="1" x14ac:dyDescent="0.25">
      <c r="K22" s="22"/>
      <c r="M22" s="16"/>
    </row>
    <row r="23" spans="1:14" s="4" customFormat="1" ht="18.75" customHeight="1" x14ac:dyDescent="0.25">
      <c r="A23" s="3" t="s">
        <v>11</v>
      </c>
      <c r="B23" s="4" t="s">
        <v>3</v>
      </c>
      <c r="E23" s="4">
        <v>30</v>
      </c>
      <c r="F23" s="4">
        <f>$E23*$C$1/100</f>
        <v>18000000</v>
      </c>
      <c r="G23" s="4">
        <f>$E$27-$F23</f>
        <v>-16093095</v>
      </c>
      <c r="I23" s="3"/>
      <c r="L23" s="3"/>
      <c r="M23" s="13"/>
      <c r="N23" s="3"/>
    </row>
    <row r="24" spans="1:14" s="7" customFormat="1" ht="18.75" customHeight="1" x14ac:dyDescent="0.25">
      <c r="C24" s="8" t="s">
        <v>39</v>
      </c>
      <c r="D24" s="8" t="s">
        <v>40</v>
      </c>
      <c r="E24" s="8" t="s">
        <v>32</v>
      </c>
      <c r="F24" s="8" t="s">
        <v>33</v>
      </c>
      <c r="G24" s="8" t="s">
        <v>34</v>
      </c>
      <c r="H24" s="8" t="s">
        <v>31</v>
      </c>
      <c r="I24" s="8" t="s">
        <v>35</v>
      </c>
      <c r="J24" s="8" t="s">
        <v>36</v>
      </c>
      <c r="K24" s="8" t="s">
        <v>42</v>
      </c>
      <c r="L24" s="8" t="s">
        <v>37</v>
      </c>
      <c r="M24" s="14" t="s">
        <v>41</v>
      </c>
      <c r="N24" s="8" t="s">
        <v>38</v>
      </c>
    </row>
    <row r="25" spans="1:14" ht="18.75" customHeight="1" x14ac:dyDescent="0.25">
      <c r="A25" s="1">
        <v>14</v>
      </c>
      <c r="B25" s="24" t="s">
        <v>20</v>
      </c>
      <c r="C25" s="2">
        <f>VLOOKUP($B25,'SORT BY EMITEN'!$B$4:$N$43,2, FALSE)</f>
        <v>10</v>
      </c>
      <c r="D25" s="2">
        <f>VLOOKUP($B25,'SORT BY EMITEN'!$B$4:$N$43,3, FALSE)</f>
        <v>6000000</v>
      </c>
      <c r="E25" s="2">
        <f>VLOOKUP($B25,'SORT BY EMITEN'!$B$4:$N$43,4, FALSE)</f>
        <v>0</v>
      </c>
      <c r="F25" s="2">
        <f>VLOOKUP($B25,'SORT BY EMITEN'!$B$4:$N$43,5, FALSE)</f>
        <v>0</v>
      </c>
      <c r="G25" s="2">
        <f>VLOOKUP($B25,'SORT BY EMITEN'!$B$4:$N$43,6, FALSE)</f>
        <v>0</v>
      </c>
      <c r="H25" s="11">
        <f>VLOOKUP($B25,'SORT BY EMITEN'!$B$4:$N$43,7, FALSE)</f>
        <v>9000</v>
      </c>
      <c r="I25" s="1">
        <f>VLOOKUP($B25,'SORT BY EMITEN'!$B$4:$N$43,8, FALSE)</f>
        <v>10800</v>
      </c>
      <c r="J25" s="33">
        <f>VLOOKUP($B25,'SORT BY EMITEN'!$B$4:$N$43,9, FALSE)</f>
        <v>6325</v>
      </c>
      <c r="K25" s="41">
        <f>VLOOKUP($B25,'SORT BY EMITEN'!$B$4:$N$43,10, FALSE)</f>
        <v>29.722222222222221</v>
      </c>
      <c r="L25" s="31">
        <f>VLOOKUP($B25,'SORT BY EMITEN'!$B$4:$N$43,11, FALSE)</f>
        <v>6325</v>
      </c>
      <c r="M25" s="31">
        <f>VLOOKUP($B25,'SORT BY EMITEN'!$B$4:$N$43,12, FALSE)</f>
        <v>0</v>
      </c>
      <c r="N25" s="1">
        <f>VLOOKUP($B25,'SORT BY EMITEN'!$B$4:$N$43,13, FALSE)</f>
        <v>0</v>
      </c>
    </row>
    <row r="26" spans="1:14" s="6" customFormat="1" ht="18.75" customHeight="1" x14ac:dyDescent="0.25">
      <c r="A26" s="5">
        <v>15</v>
      </c>
      <c r="B26" s="6" t="s">
        <v>21</v>
      </c>
      <c r="C26" s="6">
        <f>VLOOKUP($B26,'SORT BY EMITEN'!$B$4:$N$43,2, FALSE)</f>
        <v>10</v>
      </c>
      <c r="D26" s="6">
        <f>VLOOKUP($B26,'SORT BY EMITEN'!$B$4:$N$43,3, FALSE)</f>
        <v>6000000</v>
      </c>
      <c r="E26" s="2">
        <f>VLOOKUP($B26,'SORT BY EMITEN'!$B$4:$N$43,4, FALSE)</f>
        <v>1906905</v>
      </c>
      <c r="F26" s="6">
        <f>VLOOKUP($B26,'SORT BY EMITEN'!$B$4:$N$43,5, FALSE)</f>
        <v>3813</v>
      </c>
      <c r="G26" s="2">
        <f>VLOOKUP($B26,'SORT BY EMITEN'!$B$4:$N$43,6, FALSE)</f>
        <v>3622.35</v>
      </c>
      <c r="H26" s="11">
        <f>VLOOKUP($B26,'SORT BY EMITEN'!$B$4:$N$43,7, FALSE)</f>
        <v>4250</v>
      </c>
      <c r="I26" s="5">
        <f>VLOOKUP($B26,'SORT BY EMITEN'!$B$4:$N$43,8, FALSE)</f>
        <v>5100</v>
      </c>
      <c r="J26" s="36">
        <f>VLOOKUP($B26,'SORT BY EMITEN'!$B$4:$N$43,9, FALSE)</f>
        <v>3300</v>
      </c>
      <c r="K26" s="41">
        <f>VLOOKUP($B26,'SORT BY EMITEN'!$B$4:$N$43,10, FALSE)</f>
        <v>22.352941176470591</v>
      </c>
      <c r="L26" s="31">
        <f>VLOOKUP($B26,'SORT BY EMITEN'!$B$4:$N$43,11, FALSE)</f>
        <v>-513</v>
      </c>
      <c r="M26" s="31">
        <f>VLOOKUP($B26,'SORT BY EMITEN'!$B$4:$N$43,12, FALSE)</f>
        <v>-13.453973249409914</v>
      </c>
      <c r="N26" s="5" t="b">
        <f>VLOOKUP($B26,'SORT BY EMITEN'!$B$4:$N$43,13, FALSE)</f>
        <v>1</v>
      </c>
    </row>
    <row r="27" spans="1:14" s="10" customFormat="1" ht="18.75" customHeight="1" x14ac:dyDescent="0.25">
      <c r="A27" s="9"/>
      <c r="E27" s="10">
        <f>SUM(E25:E26)</f>
        <v>1906905</v>
      </c>
      <c r="I27" s="9"/>
      <c r="L27" s="9"/>
      <c r="M27" s="15"/>
      <c r="N27" s="9"/>
    </row>
    <row r="28" spans="1:14" customFormat="1" ht="18.75" customHeight="1" x14ac:dyDescent="0.25">
      <c r="K28" s="22"/>
      <c r="M28" s="16"/>
    </row>
    <row r="29" spans="1:14" s="4" customFormat="1" ht="18.75" customHeight="1" x14ac:dyDescent="0.25">
      <c r="A29" s="3" t="s">
        <v>11</v>
      </c>
      <c r="B29" s="4" t="s">
        <v>4</v>
      </c>
      <c r="E29" s="4">
        <v>20</v>
      </c>
      <c r="F29" s="4">
        <f>$E29*$C$1/100</f>
        <v>12000000</v>
      </c>
      <c r="G29" s="4">
        <f>$E$34-$F29</f>
        <v>-2065977</v>
      </c>
      <c r="I29" s="3"/>
      <c r="L29" s="3"/>
      <c r="M29" s="13"/>
      <c r="N29" s="3"/>
    </row>
    <row r="30" spans="1:14" s="7" customFormat="1" ht="18.75" customHeight="1" x14ac:dyDescent="0.25">
      <c r="C30" s="8" t="s">
        <v>39</v>
      </c>
      <c r="D30" s="8" t="s">
        <v>40</v>
      </c>
      <c r="E30" s="8" t="s">
        <v>32</v>
      </c>
      <c r="F30" s="8" t="s">
        <v>33</v>
      </c>
      <c r="G30" s="8" t="s">
        <v>34</v>
      </c>
      <c r="H30" s="8" t="s">
        <v>31</v>
      </c>
      <c r="I30" s="8" t="s">
        <v>35</v>
      </c>
      <c r="J30" s="8" t="s">
        <v>36</v>
      </c>
      <c r="K30" s="8" t="s">
        <v>42</v>
      </c>
      <c r="L30" s="8" t="s">
        <v>37</v>
      </c>
      <c r="M30" s="14" t="s">
        <v>41</v>
      </c>
      <c r="N30" s="8" t="s">
        <v>38</v>
      </c>
    </row>
    <row r="31" spans="1:14" s="18" customFormat="1" ht="18.75" customHeight="1" x14ac:dyDescent="0.25">
      <c r="A31" s="17">
        <v>16</v>
      </c>
      <c r="B31" s="18" t="s">
        <v>22</v>
      </c>
      <c r="C31" s="18">
        <f>VLOOKUP($B31,'SORT BY EMITEN'!$B$4:$N$43,2, FALSE)</f>
        <v>10</v>
      </c>
      <c r="D31" s="18">
        <f>VLOOKUP($B31,'SORT BY EMITEN'!$B$4:$N$43,3, FALSE)</f>
        <v>6000000</v>
      </c>
      <c r="E31" s="23">
        <f>VLOOKUP($B31,'SORT BY EMITEN'!$B$4:$N$43,4, FALSE)</f>
        <v>5153747</v>
      </c>
      <c r="F31" s="18">
        <f>VLOOKUP($B31,'SORT BY EMITEN'!$B$4:$N$43,5, FALSE)</f>
        <v>482</v>
      </c>
      <c r="G31" s="18">
        <f>VLOOKUP($B31,'SORT BY EMITEN'!$B$4:$N$43,6, FALSE)</f>
        <v>457.9</v>
      </c>
      <c r="H31" s="19">
        <f>VLOOKUP($B31,'SORT BY EMITEN'!$B$4:$N$43,7, FALSE)</f>
        <v>538</v>
      </c>
      <c r="I31" s="17">
        <f>VLOOKUP($B31,'SORT BY EMITEN'!$B$4:$N$43,8, FALSE)</f>
        <v>680</v>
      </c>
      <c r="J31" s="32">
        <f>VLOOKUP($B31,'SORT BY EMITEN'!$B$4:$N$43,9, FALSE)</f>
        <v>466</v>
      </c>
      <c r="K31" s="37">
        <f>VLOOKUP($B31,'SORT BY EMITEN'!$B$4:$N$43,10, FALSE)</f>
        <v>13.382899628252787</v>
      </c>
      <c r="L31" s="20">
        <f>VLOOKUP($B31,'SORT BY EMITEN'!$B$4:$N$43,11, FALSE)</f>
        <v>-16</v>
      </c>
      <c r="M31" s="20">
        <f>VLOOKUP($B31,'SORT BY EMITEN'!$B$4:$N$43,12, FALSE)</f>
        <v>-3.3195020746887969</v>
      </c>
      <c r="N31" s="21" t="b">
        <f>VLOOKUP($B31,'SORT BY EMITEN'!$B$4:$N$43,13, FALSE)</f>
        <v>0</v>
      </c>
    </row>
    <row r="32" spans="1:14" ht="18.75" customHeight="1" x14ac:dyDescent="0.25">
      <c r="A32" s="1">
        <v>17</v>
      </c>
      <c r="B32" s="2" t="s">
        <v>23</v>
      </c>
      <c r="C32" s="2">
        <f>VLOOKUP($B32,'SORT BY EMITEN'!$B$4:$N$43,2, FALSE)</f>
        <v>10</v>
      </c>
      <c r="D32" s="2">
        <f>VLOOKUP($B32,'SORT BY EMITEN'!$B$4:$N$43,3, FALSE)</f>
        <v>6000000</v>
      </c>
      <c r="E32" s="2">
        <f>VLOOKUP($B32,'SORT BY EMITEN'!$B$4:$N$43,4, FALSE)</f>
        <v>1957956</v>
      </c>
      <c r="F32" s="2">
        <f>VLOOKUP($B32,'SORT BY EMITEN'!$B$4:$N$43,5, FALSE)</f>
        <v>932</v>
      </c>
      <c r="G32" s="2">
        <f>VLOOKUP($B32,'SORT BY EMITEN'!$B$4:$N$43,6, FALSE)</f>
        <v>885.4</v>
      </c>
      <c r="H32" s="11">
        <f>VLOOKUP($B32,'SORT BY EMITEN'!$B$4:$N$43,7, FALSE)</f>
        <v>1083</v>
      </c>
      <c r="I32" s="1">
        <f>VLOOKUP($B32,'SORT BY EMITEN'!$B$4:$N$43,8, FALSE)</f>
        <v>1300</v>
      </c>
      <c r="J32" s="33">
        <f>VLOOKUP($B32,'SORT BY EMITEN'!$B$4:$N$43,9, FALSE)</f>
        <v>990</v>
      </c>
      <c r="K32" s="41">
        <f>VLOOKUP($B32,'SORT BY EMITEN'!$B$4:$N$43,10, FALSE)</f>
        <v>8.5872576177285325</v>
      </c>
      <c r="L32" s="31">
        <f>VLOOKUP($B32,'SORT BY EMITEN'!$B$4:$N$43,11, FALSE)</f>
        <v>58</v>
      </c>
      <c r="M32" s="31">
        <f>VLOOKUP($B32,'SORT BY EMITEN'!$B$4:$N$43,12, FALSE)</f>
        <v>6.2231759656652361</v>
      </c>
      <c r="N32" s="5" t="b">
        <f>VLOOKUP($B32,'SORT BY EMITEN'!$B$4:$N$43,13, FALSE)</f>
        <v>0</v>
      </c>
    </row>
    <row r="33" spans="1:14" s="29" customFormat="1" ht="18.75" customHeight="1" x14ac:dyDescent="0.25">
      <c r="A33" s="28">
        <v>18</v>
      </c>
      <c r="B33" s="29" t="s">
        <v>24</v>
      </c>
      <c r="C33" s="29">
        <f>VLOOKUP($B33,'SORT BY EMITEN'!$B$4:$N$43,2, FALSE)</f>
        <v>10</v>
      </c>
      <c r="D33" s="29">
        <f>VLOOKUP($B33,'SORT BY EMITEN'!$B$4:$N$43,3, FALSE)</f>
        <v>6000000</v>
      </c>
      <c r="E33" s="6">
        <f>VLOOKUP($B33,'SORT BY EMITEN'!$B$4:$N$43,4, FALSE)</f>
        <v>2822320</v>
      </c>
      <c r="F33" s="29">
        <f>VLOOKUP($B33,'SORT BY EMITEN'!$B$4:$N$43,5, FALSE)</f>
        <v>1007</v>
      </c>
      <c r="G33" s="29">
        <f>VLOOKUP($B33,'SORT BY EMITEN'!$B$4:$N$43,6, FALSE)</f>
        <v>956.65</v>
      </c>
      <c r="H33" s="30">
        <f>VLOOKUP($B33,'SORT BY EMITEN'!$B$4:$N$43,7, FALSE)</f>
        <v>1160</v>
      </c>
      <c r="I33" s="28">
        <f>VLOOKUP($B33,'SORT BY EMITEN'!$B$4:$N$43,8, FALSE)</f>
        <v>1400</v>
      </c>
      <c r="J33" s="35">
        <f>VLOOKUP($B33,'SORT BY EMITEN'!$B$4:$N$43,9, FALSE)</f>
        <v>1000</v>
      </c>
      <c r="K33" s="41">
        <f>VLOOKUP($B33,'SORT BY EMITEN'!$B$4:$N$43,10, FALSE)</f>
        <v>13.793103448275861</v>
      </c>
      <c r="L33" s="31">
        <f>VLOOKUP($B33,'SORT BY EMITEN'!$B$4:$N$43,11, FALSE)</f>
        <v>-7</v>
      </c>
      <c r="M33" s="31">
        <f>VLOOKUP($B33,'SORT BY EMITEN'!$B$4:$N$43,12, FALSE)</f>
        <v>-0.6951340615690168</v>
      </c>
      <c r="N33" s="5" t="b">
        <f>VLOOKUP($B33,'SORT BY EMITEN'!$B$4:$N$43,13, FALSE)</f>
        <v>0</v>
      </c>
    </row>
    <row r="34" spans="1:14" s="10" customFormat="1" ht="18.75" customHeight="1" x14ac:dyDescent="0.25">
      <c r="A34" s="9"/>
      <c r="E34" s="10">
        <f>SUM(E31:E33)</f>
        <v>9934023</v>
      </c>
      <c r="I34" s="9"/>
      <c r="L34" s="9"/>
      <c r="M34" s="15"/>
      <c r="N34" s="9"/>
    </row>
    <row r="35" spans="1:14" customFormat="1" ht="18.75" customHeight="1" x14ac:dyDescent="0.25">
      <c r="K35" s="22"/>
      <c r="M35" s="16"/>
    </row>
    <row r="36" spans="1:14" s="4" customFormat="1" ht="18.75" customHeight="1" x14ac:dyDescent="0.25">
      <c r="A36" s="3" t="s">
        <v>11</v>
      </c>
      <c r="B36" s="4" t="s">
        <v>5</v>
      </c>
      <c r="E36" s="4">
        <v>20</v>
      </c>
      <c r="F36" s="4">
        <f>$E36*$C$1/100</f>
        <v>12000000</v>
      </c>
      <c r="G36" s="4">
        <f>$E$44-$F36</f>
        <v>-638150</v>
      </c>
      <c r="I36" s="3"/>
      <c r="L36" s="3"/>
      <c r="M36" s="13"/>
      <c r="N36" s="3"/>
    </row>
    <row r="37" spans="1:14" s="7" customFormat="1" ht="18.75" customHeight="1" x14ac:dyDescent="0.25">
      <c r="C37" s="8" t="s">
        <v>39</v>
      </c>
      <c r="D37" s="8" t="s">
        <v>40</v>
      </c>
      <c r="E37" s="8" t="s">
        <v>32</v>
      </c>
      <c r="F37" s="8" t="s">
        <v>33</v>
      </c>
      <c r="G37" s="8" t="s">
        <v>34</v>
      </c>
      <c r="H37" s="8" t="s">
        <v>31</v>
      </c>
      <c r="I37" s="8" t="s">
        <v>35</v>
      </c>
      <c r="J37" s="8" t="s">
        <v>36</v>
      </c>
      <c r="K37" s="8" t="s">
        <v>42</v>
      </c>
      <c r="L37" s="8" t="s">
        <v>37</v>
      </c>
      <c r="M37" s="14" t="s">
        <v>41</v>
      </c>
      <c r="N37" s="8" t="s">
        <v>38</v>
      </c>
    </row>
    <row r="38" spans="1:14" ht="18.75" customHeight="1" x14ac:dyDescent="0.25">
      <c r="A38" s="1">
        <v>19</v>
      </c>
      <c r="B38" s="2" t="s">
        <v>25</v>
      </c>
      <c r="C38" s="2">
        <f>VLOOKUP($B38,'SORT BY EMITEN'!$B$4:$N$43,2, FALSE)</f>
        <v>10</v>
      </c>
      <c r="D38" s="2">
        <f>VLOOKUP($B38,'SORT BY EMITEN'!$B$4:$N$43,3, FALSE)</f>
        <v>6000000</v>
      </c>
      <c r="E38" s="2">
        <f>VLOOKUP($B38,'SORT BY EMITEN'!$B$4:$N$43,4, FALSE)</f>
        <v>0</v>
      </c>
      <c r="F38" s="2">
        <f>VLOOKUP($B38,'SORT BY EMITEN'!$B$4:$N$43,5, FALSE)</f>
        <v>0</v>
      </c>
      <c r="G38" s="2">
        <f>VLOOKUP($B38,'SORT BY EMITEN'!$B$4:$N$43,6, FALSE)</f>
        <v>0</v>
      </c>
      <c r="H38" s="11">
        <f>VLOOKUP($B38,'SORT BY EMITEN'!$B$4:$N$43,7, FALSE)</f>
        <v>2956</v>
      </c>
      <c r="I38" s="1">
        <f>VLOOKUP($B38,'SORT BY EMITEN'!$B$4:$N$43,8, FALSE)</f>
        <v>3400</v>
      </c>
      <c r="J38" s="33">
        <f>VLOOKUP($B38,'SORT BY EMITEN'!$B$4:$N$43,9, FALSE)</f>
        <v>2880</v>
      </c>
      <c r="K38" s="41">
        <f>VLOOKUP($B38,'SORT BY EMITEN'!$B$4:$N$43,10, FALSE)</f>
        <v>2.5710419485791611</v>
      </c>
      <c r="L38" s="31">
        <f>VLOOKUP($B38,'SORT BY EMITEN'!$B$4:$N$43,11, FALSE)</f>
        <v>2880</v>
      </c>
      <c r="M38" s="31">
        <f>VLOOKUP($B38,'SORT BY EMITEN'!$B$4:$N$43,12, FALSE)</f>
        <v>0</v>
      </c>
      <c r="N38" s="1">
        <f>VLOOKUP($B38,'SORT BY EMITEN'!$B$4:$N$43,13, FALSE)</f>
        <v>0</v>
      </c>
    </row>
    <row r="39" spans="1:14" ht="18.75" customHeight="1" x14ac:dyDescent="0.25">
      <c r="A39" s="1">
        <v>20</v>
      </c>
      <c r="B39" s="2" t="s">
        <v>26</v>
      </c>
      <c r="C39" s="2">
        <f>VLOOKUP($B39,'SORT BY EMITEN'!$B$4:$N$43,2, FALSE)</f>
        <v>5</v>
      </c>
      <c r="D39" s="2">
        <f>VLOOKUP($B39,'SORT BY EMITEN'!$B$4:$N$43,3, FALSE)</f>
        <v>3000000</v>
      </c>
      <c r="E39" s="2">
        <f>VLOOKUP($B39,'SORT BY EMITEN'!$B$4:$N$43,4, FALSE)</f>
        <v>0</v>
      </c>
      <c r="F39" s="2">
        <f>VLOOKUP($B39,'SORT BY EMITEN'!$B$4:$N$43,5, FALSE)</f>
        <v>0</v>
      </c>
      <c r="G39" s="2">
        <f>VLOOKUP($B39,'SORT BY EMITEN'!$B$4:$N$43,6, FALSE)</f>
        <v>0</v>
      </c>
      <c r="H39" s="11">
        <f>VLOOKUP($B39,'SORT BY EMITEN'!$B$4:$N$43,7, FALSE)</f>
        <v>1416</v>
      </c>
      <c r="I39" s="1">
        <f>VLOOKUP($B39,'SORT BY EMITEN'!$B$4:$N$43,8, FALSE)</f>
        <v>1900</v>
      </c>
      <c r="J39" s="33">
        <f>VLOOKUP($B39,'SORT BY EMITEN'!$B$4:$N$43,9, FALSE)</f>
        <v>1545</v>
      </c>
      <c r="K39" s="41">
        <f>VLOOKUP($B39,'SORT BY EMITEN'!$B$4:$N$43,10, FALSE)</f>
        <v>-9.1101694915254239</v>
      </c>
      <c r="L39" s="31">
        <f>VLOOKUP($B39,'SORT BY EMITEN'!$B$4:$N$43,11, FALSE)</f>
        <v>1545</v>
      </c>
      <c r="M39" s="31">
        <f>VLOOKUP($B39,'SORT BY EMITEN'!$B$4:$N$43,12, FALSE)</f>
        <v>0</v>
      </c>
      <c r="N39" s="1">
        <f>VLOOKUP($B39,'SORT BY EMITEN'!$B$4:$N$43,13, FALSE)</f>
        <v>0</v>
      </c>
    </row>
    <row r="40" spans="1:14" ht="18.75" customHeight="1" x14ac:dyDescent="0.25">
      <c r="A40" s="21">
        <v>21</v>
      </c>
      <c r="B40" s="23" t="s">
        <v>27</v>
      </c>
      <c r="C40" s="23">
        <f>VLOOKUP($B40,'SORT BY EMITEN'!$B$4:$N$43,2, FALSE)</f>
        <v>15</v>
      </c>
      <c r="D40" s="23">
        <f>VLOOKUP($B40,'SORT BY EMITEN'!$B$4:$N$43,3, FALSE)</f>
        <v>9000000</v>
      </c>
      <c r="E40" s="23">
        <f>VLOOKUP($B40,'SORT BY EMITEN'!$B$4:$N$43,4, FALSE)</f>
        <v>1964963</v>
      </c>
      <c r="F40" s="23">
        <f>VLOOKUP($B40,'SORT BY EMITEN'!$B$4:$N$43,5, FALSE)</f>
        <v>3929</v>
      </c>
      <c r="G40" s="23">
        <f>VLOOKUP($B40,'SORT BY EMITEN'!$B$4:$N$43,6, FALSE)</f>
        <v>3732.5499999999997</v>
      </c>
      <c r="H40" s="19">
        <f>VLOOKUP($B40,'SORT BY EMITEN'!$B$4:$N$43,7, FALSE)</f>
        <v>4782</v>
      </c>
      <c r="I40" s="21">
        <f>VLOOKUP($B40,'SORT BY EMITEN'!$B$4:$N$43,8, FALSE)</f>
        <v>5800</v>
      </c>
      <c r="J40" s="42">
        <f>VLOOKUP($B40,'SORT BY EMITEN'!$B$4:$N$43,9, FALSE)</f>
        <v>4120</v>
      </c>
      <c r="K40" s="37">
        <f>VLOOKUP($B40,'SORT BY EMITEN'!$B$4:$N$43,10, FALSE)</f>
        <v>13.843580092011711</v>
      </c>
      <c r="L40" s="20">
        <f>VLOOKUP($B40,'SORT BY EMITEN'!$B$4:$N$43,11, FALSE)</f>
        <v>191</v>
      </c>
      <c r="M40" s="20">
        <f>VLOOKUP($B40,'SORT BY EMITEN'!$B$4:$N$43,12, FALSE)</f>
        <v>4.8612878595062359</v>
      </c>
      <c r="N40" s="21">
        <f>VLOOKUP($B40,'SORT BY EMITEN'!$B$4:$N$43,13, FALSE)</f>
        <v>0</v>
      </c>
    </row>
    <row r="41" spans="1:14" s="18" customFormat="1" ht="18.75" customHeight="1" x14ac:dyDescent="0.25">
      <c r="A41" s="28">
        <v>22</v>
      </c>
      <c r="B41" s="29" t="s">
        <v>28</v>
      </c>
      <c r="C41" s="29">
        <f>VLOOKUP($B41,'SORT BY EMITEN'!$B$4:$N$43,2, FALSE)</f>
        <v>10</v>
      </c>
      <c r="D41" s="29">
        <f>VLOOKUP($B41,'SORT BY EMITEN'!$B$4:$N$43,3, FALSE)</f>
        <v>6000000</v>
      </c>
      <c r="E41" s="6">
        <f>VLOOKUP($B41,'SORT BY EMITEN'!$B$4:$N$43,4, FALSE)</f>
        <v>7113106</v>
      </c>
      <c r="F41" s="29">
        <f>VLOOKUP($B41,'SORT BY EMITEN'!$B$4:$N$43,5, FALSE)</f>
        <v>1922</v>
      </c>
      <c r="G41" s="29">
        <f>VLOOKUP($B41,'SORT BY EMITEN'!$B$4:$N$43,6, FALSE)</f>
        <v>1825.8999999999999</v>
      </c>
      <c r="H41" s="30">
        <f>VLOOKUP($B41,'SORT BY EMITEN'!$B$4:$N$43,7, FALSE)</f>
        <v>1666</v>
      </c>
      <c r="I41" s="28">
        <f>VLOOKUP($B41,'SORT BY EMITEN'!$B$4:$N$43,8, FALSE)</f>
        <v>2000</v>
      </c>
      <c r="J41" s="35">
        <f>VLOOKUP($B41,'SORT BY EMITEN'!$B$4:$N$43,9, FALSE)</f>
        <v>775</v>
      </c>
      <c r="K41" s="41">
        <f>VLOOKUP($B41,'SORT BY EMITEN'!$B$4:$N$43,10, FALSE)</f>
        <v>53.481392557022808</v>
      </c>
      <c r="L41" s="31">
        <f>VLOOKUP($B41,'SORT BY EMITEN'!$B$4:$N$43,11, FALSE)</f>
        <v>-1147</v>
      </c>
      <c r="M41" s="31">
        <f>VLOOKUP($B41,'SORT BY EMITEN'!$B$4:$N$43,12, FALSE)</f>
        <v>-59.677419354838712</v>
      </c>
      <c r="N41" s="5" t="b">
        <f>VLOOKUP($B41,'SORT BY EMITEN'!$B$4:$N$43,13, FALSE)</f>
        <v>1</v>
      </c>
    </row>
    <row r="42" spans="1:14" ht="18.75" customHeight="1" x14ac:dyDescent="0.25">
      <c r="A42" s="1">
        <v>23</v>
      </c>
      <c r="B42" s="2" t="s">
        <v>29</v>
      </c>
      <c r="C42" s="2">
        <f>VLOOKUP($B42,'SORT BY EMITEN'!$B$4:$N$43,2, FALSE)</f>
        <v>10</v>
      </c>
      <c r="D42" s="2">
        <f>VLOOKUP($B42,'SORT BY EMITEN'!$B$4:$N$43,3, FALSE)</f>
        <v>6000000</v>
      </c>
      <c r="E42" s="2">
        <f>VLOOKUP($B42,'SORT BY EMITEN'!$B$4:$N$43,4, FALSE)</f>
        <v>2283781</v>
      </c>
      <c r="F42" s="2">
        <f>VLOOKUP($B42,'SORT BY EMITEN'!$B$4:$N$43,5, FALSE)</f>
        <v>634</v>
      </c>
      <c r="G42" s="2">
        <f>VLOOKUP($B42,'SORT BY EMITEN'!$B$4:$N$43,6, FALSE)</f>
        <v>602.29999999999995</v>
      </c>
      <c r="H42" s="11">
        <f>VLOOKUP($B42,'SORT BY EMITEN'!$B$4:$N$43,7, FALSE)</f>
        <v>500</v>
      </c>
      <c r="I42" s="1">
        <f>VLOOKUP($B42,'SORT BY EMITEN'!$B$4:$N$43,8, FALSE)</f>
        <v>600</v>
      </c>
      <c r="J42" s="33">
        <f>VLOOKUP($B42,'SORT BY EMITEN'!$B$4:$N$43,9, FALSE)</f>
        <v>404</v>
      </c>
      <c r="K42" s="41">
        <f>VLOOKUP($B42,'SORT BY EMITEN'!$B$4:$N$43,10, FALSE)</f>
        <v>19.2</v>
      </c>
      <c r="L42" s="31">
        <f>VLOOKUP($B42,'SORT BY EMITEN'!$B$4:$N$43,11, FALSE)</f>
        <v>-230</v>
      </c>
      <c r="M42" s="31">
        <f>VLOOKUP($B42,'SORT BY EMITEN'!$B$4:$N$43,12, FALSE)</f>
        <v>-36.277602523659311</v>
      </c>
      <c r="N42" s="5" t="b">
        <f>VLOOKUP($B42,'SORT BY EMITEN'!$B$4:$N$43,13, FALSE)</f>
        <v>1</v>
      </c>
    </row>
    <row r="43" spans="1:14" ht="18.75" customHeight="1" x14ac:dyDescent="0.25">
      <c r="A43" s="1">
        <v>24</v>
      </c>
      <c r="B43" s="2" t="s">
        <v>30</v>
      </c>
      <c r="C43" s="2">
        <f>VLOOKUP($B43,'SORT BY EMITEN'!$B$4:$N$43,2, FALSE)</f>
        <v>5</v>
      </c>
      <c r="D43" s="2">
        <f>VLOOKUP($B43,'SORT BY EMITEN'!$B$4:$N$43,3, FALSE)</f>
        <v>3000000</v>
      </c>
      <c r="E43" s="2">
        <f>VLOOKUP($B43,'SORT BY EMITEN'!$B$4:$N$43,4, FALSE)</f>
        <v>0</v>
      </c>
      <c r="F43" s="2">
        <f>VLOOKUP($B43,'SORT BY EMITEN'!$B$4:$N$43,5, FALSE)</f>
        <v>0</v>
      </c>
      <c r="G43" s="2">
        <f>VLOOKUP($B43,'SORT BY EMITEN'!$B$4:$N$43,6, FALSE)</f>
        <v>0</v>
      </c>
      <c r="H43" s="11">
        <f>VLOOKUP($B43,'SORT BY EMITEN'!$B$4:$N$43,7, FALSE)</f>
        <v>6166</v>
      </c>
      <c r="I43" s="1">
        <f>VLOOKUP($B43,'SORT BY EMITEN'!$B$4:$N$43,8, FALSE)</f>
        <v>7400</v>
      </c>
      <c r="J43" s="33">
        <f>VLOOKUP($B43,'SORT BY EMITEN'!$B$4:$N$43,9, FALSE)</f>
        <v>5675</v>
      </c>
      <c r="K43" s="41">
        <f>VLOOKUP($B43,'SORT BY EMITEN'!$B$4:$N$43,10, FALSE)</f>
        <v>7.9630230295167044</v>
      </c>
      <c r="L43" s="31">
        <f>VLOOKUP($B43,'SORT BY EMITEN'!$B$4:$N$43,11, FALSE)</f>
        <v>5675</v>
      </c>
      <c r="M43" s="31">
        <f>VLOOKUP($B43,'SORT BY EMITEN'!$B$4:$N$43,12, FALSE)</f>
        <v>0</v>
      </c>
      <c r="N43" s="1">
        <f>VLOOKUP($B43,'SORT BY EMITEN'!$B$4:$N$43,13, FALSE)</f>
        <v>0</v>
      </c>
    </row>
    <row r="44" spans="1:14" s="10" customFormat="1" ht="18.75" customHeight="1" x14ac:dyDescent="0.25">
      <c r="A44" s="9"/>
      <c r="E44" s="10">
        <f>SUM(E38:E43)</f>
        <v>11361850</v>
      </c>
      <c r="I44" s="9"/>
      <c r="L44" s="9"/>
      <c r="M44" s="15"/>
      <c r="N44" s="9"/>
    </row>
  </sheetData>
  <sheetProtection sheet="1" objects="1" scenarios="1"/>
  <sortState ref="A38:N43">
    <sortCondition ref="A38"/>
  </sortState>
  <conditionalFormatting sqref="E8">
    <cfRule type="expression" dxfId="37" priority="37">
      <formula>$E8&gt;=$D8</formula>
    </cfRule>
    <cfRule type="expression" dxfId="36" priority="38">
      <formula>$E8 &lt; $D8</formula>
    </cfRule>
  </conditionalFormatting>
  <conditionalFormatting sqref="E4:E7">
    <cfRule type="expression" dxfId="35" priority="35">
      <formula>$E4&gt;=$D4</formula>
    </cfRule>
    <cfRule type="expression" dxfId="34" priority="36">
      <formula>$E4 &lt; $D4</formula>
    </cfRule>
  </conditionalFormatting>
  <conditionalFormatting sqref="E13:E20">
    <cfRule type="expression" dxfId="33" priority="33">
      <formula>$E13&gt;=$D13</formula>
    </cfRule>
    <cfRule type="expression" dxfId="32" priority="34">
      <formula>$E13 &lt; $D13</formula>
    </cfRule>
  </conditionalFormatting>
  <conditionalFormatting sqref="E25:E26">
    <cfRule type="expression" dxfId="31" priority="31">
      <formula>$E25&gt;=$D25</formula>
    </cfRule>
    <cfRule type="expression" dxfId="30" priority="32">
      <formula>$E25 &lt; $D25</formula>
    </cfRule>
  </conditionalFormatting>
  <conditionalFormatting sqref="E31:E33">
    <cfRule type="expression" dxfId="29" priority="29">
      <formula>$E31&gt;=$D31</formula>
    </cfRule>
    <cfRule type="expression" dxfId="28" priority="30">
      <formula>$E31 &lt; $D31</formula>
    </cfRule>
  </conditionalFormatting>
  <conditionalFormatting sqref="E38:E43">
    <cfRule type="expression" dxfId="27" priority="27">
      <formula>$E38&gt;=$D38</formula>
    </cfRule>
    <cfRule type="expression" dxfId="26" priority="28">
      <formula>$E38 &lt; $D38</formula>
    </cfRule>
  </conditionalFormatting>
  <conditionalFormatting sqref="K4:K8">
    <cfRule type="expression" dxfId="25" priority="25">
      <formula>$J4 &gt; $H4</formula>
    </cfRule>
    <cfRule type="expression" dxfId="24" priority="26">
      <formula>$J4 &lt; $H4</formula>
    </cfRule>
  </conditionalFormatting>
  <conditionalFormatting sqref="K13:K20">
    <cfRule type="expression" dxfId="23" priority="23">
      <formula>$J13 &gt; $H13</formula>
    </cfRule>
    <cfRule type="expression" dxfId="22" priority="24">
      <formula>$J13 &lt; $H13</formula>
    </cfRule>
  </conditionalFormatting>
  <conditionalFormatting sqref="K38:K43 K31:K33 K25:K26">
    <cfRule type="expression" dxfId="21" priority="21">
      <formula>$J25 &gt; $H25</formula>
    </cfRule>
    <cfRule type="expression" dxfId="20" priority="22">
      <formula>$J25 &lt; $H25</formula>
    </cfRule>
  </conditionalFormatting>
  <conditionalFormatting sqref="M4:M8">
    <cfRule type="expression" dxfId="19" priority="19">
      <formula>$M4&lt;0</formula>
    </cfRule>
    <cfRule type="expression" dxfId="18" priority="20">
      <formula>$M4 &gt; 0</formula>
    </cfRule>
  </conditionalFormatting>
  <conditionalFormatting sqref="M13:M20">
    <cfRule type="expression" dxfId="17" priority="17">
      <formula>$M13&lt;0</formula>
    </cfRule>
    <cfRule type="expression" dxfId="16" priority="18">
      <formula>$M13 &gt; 0</formula>
    </cfRule>
  </conditionalFormatting>
  <conditionalFormatting sqref="M25:M26 M31:M33 M38:M43">
    <cfRule type="expression" dxfId="15" priority="15">
      <formula>$M25&lt;0</formula>
    </cfRule>
    <cfRule type="expression" dxfId="14" priority="16">
      <formula>$M25 &gt; 0</formula>
    </cfRule>
  </conditionalFormatting>
  <conditionalFormatting sqref="L4">
    <cfRule type="expression" dxfId="13" priority="13">
      <formula>$M4&lt;0</formula>
    </cfRule>
    <cfRule type="expression" dxfId="12" priority="14">
      <formula>$M4 &gt; 0</formula>
    </cfRule>
  </conditionalFormatting>
  <conditionalFormatting sqref="L5:L8">
    <cfRule type="expression" dxfId="11" priority="11">
      <formula>$M5&lt;0</formula>
    </cfRule>
    <cfRule type="expression" dxfId="10" priority="12">
      <formula>$M5 &gt; 0</formula>
    </cfRule>
  </conditionalFormatting>
  <conditionalFormatting sqref="L13:L20">
    <cfRule type="expression" dxfId="9" priority="9">
      <formula>$M13&lt;0</formula>
    </cfRule>
    <cfRule type="expression" dxfId="8" priority="10">
      <formula>$M13 &gt; 0</formula>
    </cfRule>
  </conditionalFormatting>
  <conditionalFormatting sqref="L25:L26">
    <cfRule type="expression" dxfId="7" priority="7">
      <formula>$M25&lt;0</formula>
    </cfRule>
    <cfRule type="expression" dxfId="6" priority="8">
      <formula>$M25 &gt; 0</formula>
    </cfRule>
  </conditionalFormatting>
  <conditionalFormatting sqref="L31:L33">
    <cfRule type="expression" dxfId="5" priority="5">
      <formula>$M31&lt;0</formula>
    </cfRule>
    <cfRule type="expression" dxfId="4" priority="6">
      <formula>$M31 &gt; 0</formula>
    </cfRule>
  </conditionalFormatting>
  <conditionalFormatting sqref="L38:L43">
    <cfRule type="expression" dxfId="3" priority="3">
      <formula>$M38&lt;0</formula>
    </cfRule>
    <cfRule type="expression" dxfId="2" priority="4">
      <formula>$M38 &gt; 0</formula>
    </cfRule>
  </conditionalFormatting>
  <conditionalFormatting sqref="L1:M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F2" sqref="F2"/>
    </sheetView>
  </sheetViews>
  <sheetFormatPr defaultRowHeight="15" x14ac:dyDescent="0.25"/>
  <cols>
    <col min="10" max="10" width="13.42578125" customWidth="1"/>
    <col min="13" max="13" width="9.140625" style="49"/>
    <col min="14" max="14" width="16.28515625" style="49" bestFit="1" customWidth="1"/>
  </cols>
  <sheetData>
    <row r="1" spans="1:14" x14ac:dyDescent="0.25">
      <c r="A1" s="7"/>
      <c r="B1" s="7"/>
      <c r="C1" s="8" t="s">
        <v>31</v>
      </c>
      <c r="D1" s="8" t="s">
        <v>35</v>
      </c>
      <c r="F1" s="7"/>
      <c r="G1" s="8" t="s">
        <v>36</v>
      </c>
      <c r="I1" s="7"/>
      <c r="J1" s="8" t="s">
        <v>44</v>
      </c>
      <c r="K1" s="8" t="s">
        <v>33</v>
      </c>
    </row>
    <row r="2" spans="1:14" x14ac:dyDescent="0.25">
      <c r="A2" s="17">
        <v>1</v>
      </c>
      <c r="B2" s="18" t="s">
        <v>6</v>
      </c>
      <c r="C2" s="19">
        <v>5391</v>
      </c>
      <c r="D2" s="17">
        <v>6200</v>
      </c>
      <c r="F2" s="18" t="s">
        <v>9</v>
      </c>
      <c r="G2" s="47">
        <v>8775</v>
      </c>
      <c r="I2" s="29" t="s">
        <v>16</v>
      </c>
      <c r="J2" s="48">
        <v>1948446</v>
      </c>
      <c r="K2" s="29">
        <v>1026</v>
      </c>
      <c r="M2" s="49" t="s">
        <v>2</v>
      </c>
      <c r="N2" s="50">
        <v>60000000</v>
      </c>
    </row>
    <row r="3" spans="1:14" x14ac:dyDescent="0.25">
      <c r="A3" s="1">
        <v>2</v>
      </c>
      <c r="B3" s="2" t="s">
        <v>7</v>
      </c>
      <c r="C3" s="11">
        <v>9666</v>
      </c>
      <c r="D3" s="1">
        <v>11600</v>
      </c>
      <c r="F3" s="2" t="s">
        <v>7</v>
      </c>
      <c r="G3" s="48">
        <v>9375</v>
      </c>
      <c r="I3" s="18" t="s">
        <v>13</v>
      </c>
      <c r="J3" s="47">
        <v>5077572</v>
      </c>
      <c r="K3" s="18">
        <v>6346</v>
      </c>
    </row>
    <row r="4" spans="1:14" x14ac:dyDescent="0.25">
      <c r="A4" s="21">
        <v>3</v>
      </c>
      <c r="B4" s="23" t="s">
        <v>8</v>
      </c>
      <c r="C4" s="19">
        <v>5217</v>
      </c>
      <c r="D4" s="21">
        <v>6000</v>
      </c>
      <c r="F4" s="18" t="s">
        <v>6</v>
      </c>
      <c r="G4" s="47">
        <v>4860</v>
      </c>
      <c r="I4" s="29" t="s">
        <v>28</v>
      </c>
      <c r="J4" s="48">
        <v>7113106</v>
      </c>
      <c r="K4" s="29">
        <v>1922</v>
      </c>
    </row>
    <row r="5" spans="1:14" x14ac:dyDescent="0.25">
      <c r="A5" s="17">
        <v>4</v>
      </c>
      <c r="B5" s="18" t="s">
        <v>9</v>
      </c>
      <c r="C5" s="19">
        <v>8695</v>
      </c>
      <c r="D5" s="17">
        <v>10000</v>
      </c>
      <c r="F5" s="23" t="s">
        <v>8</v>
      </c>
      <c r="G5" s="47">
        <v>5225</v>
      </c>
      <c r="I5" s="18" t="s">
        <v>9</v>
      </c>
      <c r="J5" s="47">
        <v>745745</v>
      </c>
      <c r="K5" s="18">
        <v>7457</v>
      </c>
    </row>
    <row r="6" spans="1:14" x14ac:dyDescent="0.25">
      <c r="A6" s="1">
        <v>5</v>
      </c>
      <c r="B6" s="2" t="s">
        <v>10</v>
      </c>
      <c r="C6" s="11">
        <v>3200</v>
      </c>
      <c r="D6" s="1">
        <v>3850</v>
      </c>
      <c r="F6" s="2" t="s">
        <v>10</v>
      </c>
      <c r="G6" s="48">
        <v>2150</v>
      </c>
      <c r="I6" s="2" t="s">
        <v>7</v>
      </c>
      <c r="J6" s="48">
        <v>0</v>
      </c>
    </row>
    <row r="7" spans="1:14" x14ac:dyDescent="0.25">
      <c r="A7" s="17">
        <v>7</v>
      </c>
      <c r="B7" s="18" t="s">
        <v>13</v>
      </c>
      <c r="C7" s="19">
        <v>7130</v>
      </c>
      <c r="D7" s="17">
        <v>8200</v>
      </c>
      <c r="F7" s="29" t="s">
        <v>16</v>
      </c>
      <c r="G7" s="48">
        <v>476</v>
      </c>
      <c r="I7" s="18" t="s">
        <v>6</v>
      </c>
      <c r="J7" s="47">
        <f>5870865+1124623</f>
        <v>6995488</v>
      </c>
      <c r="K7" s="18">
        <v>4568</v>
      </c>
    </row>
    <row r="8" spans="1:14" x14ac:dyDescent="0.25">
      <c r="A8" s="21">
        <v>8</v>
      </c>
      <c r="B8" s="44" t="s">
        <v>14</v>
      </c>
      <c r="C8" s="19">
        <v>10434</v>
      </c>
      <c r="D8" s="21">
        <v>12000</v>
      </c>
      <c r="F8" s="18" t="s">
        <v>13</v>
      </c>
      <c r="G8" s="47">
        <v>6025</v>
      </c>
      <c r="I8" s="23" t="s">
        <v>8</v>
      </c>
      <c r="J8" s="47">
        <v>0</v>
      </c>
    </row>
    <row r="9" spans="1:14" x14ac:dyDescent="0.25">
      <c r="A9" s="1">
        <v>9</v>
      </c>
      <c r="B9" s="2" t="s">
        <v>15</v>
      </c>
      <c r="C9" s="11">
        <v>1916</v>
      </c>
      <c r="D9" s="1">
        <v>2300</v>
      </c>
      <c r="F9" s="44" t="s">
        <v>14</v>
      </c>
      <c r="G9" s="47">
        <v>10100</v>
      </c>
      <c r="I9" s="2" t="s">
        <v>23</v>
      </c>
      <c r="J9" s="48">
        <v>1957956</v>
      </c>
      <c r="K9" s="2">
        <v>932</v>
      </c>
    </row>
    <row r="10" spans="1:14" x14ac:dyDescent="0.25">
      <c r="A10" s="28">
        <v>10</v>
      </c>
      <c r="B10" s="29" t="s">
        <v>16</v>
      </c>
      <c r="C10" s="30">
        <v>583</v>
      </c>
      <c r="D10" s="28">
        <v>700</v>
      </c>
      <c r="F10" s="2" t="s">
        <v>15</v>
      </c>
      <c r="G10" s="48">
        <v>2130</v>
      </c>
      <c r="I10" s="2" t="s">
        <v>10</v>
      </c>
      <c r="J10" s="48">
        <v>3465462</v>
      </c>
      <c r="K10" s="2">
        <v>3150</v>
      </c>
    </row>
    <row r="11" spans="1:14" x14ac:dyDescent="0.25">
      <c r="A11" s="17">
        <v>11</v>
      </c>
      <c r="B11" s="18" t="s">
        <v>17</v>
      </c>
      <c r="C11" s="19">
        <v>1666</v>
      </c>
      <c r="D11" s="17">
        <v>2000</v>
      </c>
      <c r="F11" s="18" t="s">
        <v>17</v>
      </c>
      <c r="G11" s="47">
        <v>1445</v>
      </c>
      <c r="I11" s="29" t="s">
        <v>24</v>
      </c>
      <c r="J11" s="48">
        <v>2822320</v>
      </c>
      <c r="K11" s="29">
        <v>1007</v>
      </c>
    </row>
    <row r="12" spans="1:14" x14ac:dyDescent="0.25">
      <c r="A12" s="21">
        <v>12</v>
      </c>
      <c r="B12" s="44" t="s">
        <v>18</v>
      </c>
      <c r="C12" s="19">
        <v>2500</v>
      </c>
      <c r="D12" s="21">
        <v>3000</v>
      </c>
      <c r="F12" s="44" t="s">
        <v>18</v>
      </c>
      <c r="G12" s="47">
        <v>2630</v>
      </c>
      <c r="I12" s="44" t="s">
        <v>14</v>
      </c>
      <c r="J12" s="47">
        <f>2650147+990990</f>
        <v>3641137</v>
      </c>
      <c r="K12" s="23">
        <v>9102</v>
      </c>
    </row>
    <row r="13" spans="1:14" x14ac:dyDescent="0.25">
      <c r="A13" s="17">
        <v>13</v>
      </c>
      <c r="B13" s="18" t="s">
        <v>19</v>
      </c>
      <c r="C13" s="19">
        <v>870</v>
      </c>
      <c r="D13" s="17">
        <v>1000</v>
      </c>
      <c r="F13" s="18" t="s">
        <v>19</v>
      </c>
      <c r="G13" s="47">
        <v>845</v>
      </c>
      <c r="I13" s="6" t="s">
        <v>21</v>
      </c>
      <c r="J13" s="48">
        <v>1906905</v>
      </c>
      <c r="K13" s="6">
        <v>3813</v>
      </c>
    </row>
    <row r="14" spans="1:14" x14ac:dyDescent="0.25">
      <c r="A14" s="1">
        <v>14</v>
      </c>
      <c r="B14" s="24" t="s">
        <v>20</v>
      </c>
      <c r="C14" s="11">
        <v>9000</v>
      </c>
      <c r="D14" s="1">
        <v>10800</v>
      </c>
      <c r="F14" s="6" t="s">
        <v>21</v>
      </c>
      <c r="G14" s="48">
        <v>3300</v>
      </c>
      <c r="I14" s="2" t="s">
        <v>15</v>
      </c>
      <c r="J14" s="48">
        <v>0</v>
      </c>
    </row>
    <row r="15" spans="1:14" x14ac:dyDescent="0.25">
      <c r="A15" s="5">
        <v>15</v>
      </c>
      <c r="B15" s="6" t="s">
        <v>21</v>
      </c>
      <c r="C15" s="11">
        <v>4250</v>
      </c>
      <c r="D15" s="5">
        <v>5100</v>
      </c>
      <c r="F15" s="24" t="s">
        <v>20</v>
      </c>
      <c r="G15" s="48">
        <v>6325</v>
      </c>
      <c r="I15" s="18" t="s">
        <v>17</v>
      </c>
      <c r="J15" s="47">
        <f>813724+1124623</f>
        <v>1938347</v>
      </c>
      <c r="K15" s="18">
        <v>1211</v>
      </c>
    </row>
    <row r="16" spans="1:14" x14ac:dyDescent="0.25">
      <c r="A16" s="28">
        <v>16</v>
      </c>
      <c r="B16" s="29" t="s">
        <v>22</v>
      </c>
      <c r="C16" s="30">
        <v>538</v>
      </c>
      <c r="D16" s="28">
        <v>680</v>
      </c>
      <c r="F16" s="2" t="s">
        <v>23</v>
      </c>
      <c r="G16" s="48">
        <v>990</v>
      </c>
      <c r="I16" s="2" t="s">
        <v>25</v>
      </c>
      <c r="J16" s="48">
        <v>0</v>
      </c>
    </row>
    <row r="17" spans="1:11" x14ac:dyDescent="0.25">
      <c r="A17" s="1">
        <v>17</v>
      </c>
      <c r="B17" s="2" t="s">
        <v>23</v>
      </c>
      <c r="C17" s="11">
        <v>1083</v>
      </c>
      <c r="D17" s="1">
        <v>1300</v>
      </c>
      <c r="F17" s="29" t="s">
        <v>24</v>
      </c>
      <c r="G17" s="48">
        <v>1000</v>
      </c>
      <c r="I17" s="24" t="s">
        <v>18</v>
      </c>
      <c r="J17" s="48">
        <v>0</v>
      </c>
    </row>
    <row r="18" spans="1:11" x14ac:dyDescent="0.25">
      <c r="A18" s="28">
        <v>18</v>
      </c>
      <c r="B18" s="29" t="s">
        <v>24</v>
      </c>
      <c r="C18" s="30">
        <v>1160</v>
      </c>
      <c r="D18" s="28">
        <v>1400</v>
      </c>
      <c r="F18" s="29" t="s">
        <v>22</v>
      </c>
      <c r="G18" s="48">
        <v>466</v>
      </c>
      <c r="I18" s="2" t="s">
        <v>30</v>
      </c>
      <c r="J18" s="48">
        <v>0</v>
      </c>
    </row>
    <row r="19" spans="1:11" x14ac:dyDescent="0.25">
      <c r="A19" s="1">
        <v>19</v>
      </c>
      <c r="B19" s="2" t="s">
        <v>25</v>
      </c>
      <c r="C19" s="11">
        <v>2956</v>
      </c>
      <c r="D19" s="1">
        <v>3400</v>
      </c>
      <c r="F19" s="29" t="s">
        <v>28</v>
      </c>
      <c r="G19" s="48">
        <v>775</v>
      </c>
      <c r="I19" s="18" t="s">
        <v>22</v>
      </c>
      <c r="J19" s="47">
        <v>5153747</v>
      </c>
      <c r="K19" s="18">
        <v>482</v>
      </c>
    </row>
    <row r="20" spans="1:11" x14ac:dyDescent="0.25">
      <c r="A20" s="1">
        <v>20</v>
      </c>
      <c r="B20" s="2" t="s">
        <v>26</v>
      </c>
      <c r="C20" s="11">
        <v>1416</v>
      </c>
      <c r="D20" s="1">
        <v>1900</v>
      </c>
      <c r="F20" s="2" t="s">
        <v>25</v>
      </c>
      <c r="G20" s="48">
        <v>2880</v>
      </c>
      <c r="I20" s="29" t="s">
        <v>19</v>
      </c>
      <c r="J20" s="48">
        <v>0</v>
      </c>
    </row>
    <row r="21" spans="1:11" x14ac:dyDescent="0.25">
      <c r="A21" s="21">
        <v>21</v>
      </c>
      <c r="B21" s="23" t="s">
        <v>27</v>
      </c>
      <c r="C21" s="19">
        <v>4782</v>
      </c>
      <c r="D21" s="21">
        <v>5800</v>
      </c>
      <c r="F21" s="2" t="s">
        <v>30</v>
      </c>
      <c r="G21" s="48">
        <v>5675</v>
      </c>
      <c r="I21" s="24" t="s">
        <v>20</v>
      </c>
      <c r="J21" s="48">
        <v>0</v>
      </c>
    </row>
    <row r="22" spans="1:11" x14ac:dyDescent="0.25">
      <c r="A22" s="28">
        <v>22</v>
      </c>
      <c r="B22" s="29" t="s">
        <v>28</v>
      </c>
      <c r="C22" s="30">
        <v>1666</v>
      </c>
      <c r="D22" s="28">
        <v>2000</v>
      </c>
      <c r="F22" s="2" t="s">
        <v>26</v>
      </c>
      <c r="G22" s="48">
        <v>1545</v>
      </c>
      <c r="I22" s="2" t="s">
        <v>26</v>
      </c>
      <c r="J22" s="48">
        <v>0</v>
      </c>
    </row>
    <row r="23" spans="1:11" x14ac:dyDescent="0.25">
      <c r="A23" s="1">
        <v>23</v>
      </c>
      <c r="B23" s="2" t="s">
        <v>29</v>
      </c>
      <c r="C23" s="11">
        <v>500</v>
      </c>
      <c r="D23" s="1">
        <v>600</v>
      </c>
      <c r="F23" s="23" t="s">
        <v>27</v>
      </c>
      <c r="G23" s="47">
        <v>4120</v>
      </c>
      <c r="I23" s="23" t="s">
        <v>27</v>
      </c>
      <c r="J23" s="47">
        <v>1964963</v>
      </c>
      <c r="K23" s="23">
        <v>3929</v>
      </c>
    </row>
    <row r="24" spans="1:11" x14ac:dyDescent="0.25">
      <c r="A24" s="1">
        <v>24</v>
      </c>
      <c r="B24" s="2" t="s">
        <v>30</v>
      </c>
      <c r="C24" s="11">
        <v>6166</v>
      </c>
      <c r="D24" s="1">
        <v>7400</v>
      </c>
      <c r="F24" s="2" t="s">
        <v>29</v>
      </c>
      <c r="G24" s="48">
        <v>404</v>
      </c>
      <c r="I24" s="2" t="s">
        <v>29</v>
      </c>
      <c r="J24" s="48">
        <v>2283781</v>
      </c>
      <c r="K24" s="2">
        <v>634</v>
      </c>
    </row>
  </sheetData>
  <sortState ref="I2:J24">
    <sortCondition ref="I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BY EMITEN</vt:lpstr>
      <vt:lpstr>SORT BY NO</vt:lpstr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Tan</dc:creator>
  <cp:lastModifiedBy>Jose Tan</cp:lastModifiedBy>
  <dcterms:created xsi:type="dcterms:W3CDTF">2022-04-20T01:58:41Z</dcterms:created>
  <dcterms:modified xsi:type="dcterms:W3CDTF">2023-04-05T09:48:10Z</dcterms:modified>
</cp:coreProperties>
</file>